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527" i="1" l="1"/>
  <c r="N526" i="1"/>
  <c r="B527" i="1"/>
  <c r="C527" i="1" s="1"/>
  <c r="AH527" i="1"/>
  <c r="X527" i="1" s="1"/>
  <c r="AN527" i="1"/>
  <c r="AQ527" i="1"/>
  <c r="AR527" i="1" s="1"/>
  <c r="AT527" i="1"/>
  <c r="Y527" i="1" l="1"/>
  <c r="AS527" i="1"/>
  <c r="AG527" i="1"/>
  <c r="AP527" i="1" s="1"/>
  <c r="Z527" i="1" l="1"/>
  <c r="AO527" i="1"/>
  <c r="AA527" i="1" l="1"/>
  <c r="AB527" i="1" s="1"/>
  <c r="AC527" i="1" s="1"/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 s="1"/>
  <c r="AH131" i="1"/>
  <c r="X131" i="1" s="1"/>
  <c r="Y131" i="1" s="1"/>
  <c r="AN131" i="1"/>
  <c r="AQ131" i="1"/>
  <c r="AR131" i="1" s="1"/>
  <c r="AT131" i="1"/>
  <c r="AG131" i="1" l="1"/>
  <c r="AO131" i="1" s="1"/>
  <c r="Z131" i="1"/>
  <c r="AP131" i="1" l="1"/>
  <c r="AA131" i="1"/>
  <c r="AB131" i="1" s="1"/>
  <c r="AC131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0" i="1"/>
  <c r="C260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0" i="1"/>
  <c r="C270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1" i="1"/>
  <c r="C321" i="1" s="1"/>
  <c r="B322" i="1"/>
  <c r="C322" i="1" s="1"/>
  <c r="B324" i="1"/>
  <c r="C324" i="1" s="1"/>
  <c r="B327" i="1"/>
  <c r="C327" i="1" s="1"/>
  <c r="B328" i="1"/>
  <c r="C328" i="1" s="1"/>
  <c r="B329" i="1"/>
  <c r="C329" i="1" s="1"/>
  <c r="B331" i="1"/>
  <c r="C331" i="1" s="1"/>
  <c r="B332" i="1"/>
  <c r="C332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5" i="1"/>
  <c r="C375" i="1" s="1"/>
  <c r="B376" i="1"/>
  <c r="C376" i="1" s="1"/>
  <c r="B377" i="1"/>
  <c r="C377" i="1" s="1"/>
  <c r="B380" i="1"/>
  <c r="C380" i="1" s="1"/>
  <c r="B381" i="1"/>
  <c r="C381" i="1" s="1"/>
  <c r="B382" i="1"/>
  <c r="C382" i="1" s="1"/>
  <c r="B384" i="1"/>
  <c r="C384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5" i="1"/>
  <c r="C525" i="1" s="1"/>
  <c r="B528" i="1"/>
  <c r="C528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AO58" i="1" s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T340" i="1"/>
  <c r="AQ340" i="1" l="1"/>
  <c r="AR340" i="1" s="1"/>
  <c r="AG340" i="1"/>
  <c r="AO340" i="1" s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H147" i="1" l="1"/>
  <c r="X147" i="1" s="1"/>
  <c r="AN147" i="1"/>
  <c r="AO147" i="1" s="1"/>
  <c r="AQ147" i="1"/>
  <c r="AR147" i="1" s="1"/>
  <c r="Y147" i="1" l="1"/>
  <c r="AG147" i="1"/>
  <c r="AP147" i="1" s="1"/>
  <c r="AH436" i="1"/>
  <c r="AN436" i="1"/>
  <c r="AQ436" i="1" l="1"/>
  <c r="AR436" i="1" s="1"/>
  <c r="AG436" i="1"/>
  <c r="AP436" i="1" s="1"/>
  <c r="X436" i="1"/>
  <c r="Z147" i="1"/>
  <c r="AA147" i="1"/>
  <c r="AO436" i="1" l="1"/>
  <c r="AB147" i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l="1"/>
  <c r="AR123" i="1" s="1"/>
  <c r="Y146" i="1"/>
  <c r="Z146" i="1" s="1"/>
  <c r="AG146" i="1"/>
  <c r="AP146" i="1" s="1"/>
  <c r="Y123" i="1"/>
  <c r="Z123" i="1" s="1"/>
  <c r="AG123" i="1"/>
  <c r="AP123" i="1" s="1"/>
  <c r="AO123" i="1" l="1"/>
  <c r="AO146" i="1"/>
  <c r="AA146" i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H100" i="1"/>
  <c r="AN100" i="1"/>
  <c r="AQ100" i="1" l="1"/>
  <c r="AR100" i="1" s="1"/>
  <c r="AQ124" i="1"/>
  <c r="AR124" i="1" s="1"/>
  <c r="AO124" i="1"/>
  <c r="AG100" i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O100" i="1" l="1"/>
  <c r="AG61" i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4" i="1"/>
  <c r="AR274" i="1" s="1"/>
  <c r="AQ276" i="1"/>
  <c r="AR276" i="1" s="1"/>
  <c r="AQ278" i="1"/>
  <c r="AR278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10" i="1"/>
  <c r="AR310" i="1" s="1"/>
  <c r="AQ312" i="1"/>
  <c r="AR312" i="1" s="1"/>
  <c r="AQ313" i="1"/>
  <c r="AR313" i="1" s="1"/>
  <c r="AQ318" i="1"/>
  <c r="AR318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0" i="1"/>
  <c r="AR380" i="1" s="1"/>
  <c r="AQ382" i="1"/>
  <c r="AR382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5" i="1"/>
  <c r="AR525" i="1" s="1"/>
  <c r="AQ528" i="1"/>
  <c r="AR528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AG526" i="1" s="1"/>
  <c r="AH528" i="1"/>
  <c r="X528" i="1" s="1"/>
  <c r="AH529" i="1"/>
  <c r="AG529" i="1" s="1"/>
  <c r="AH530" i="1"/>
  <c r="X530" i="1" s="1"/>
  <c r="AH531" i="1"/>
  <c r="X531" i="1" s="1"/>
  <c r="AH532" i="1"/>
  <c r="X532" i="1" s="1"/>
  <c r="AH533" i="1"/>
  <c r="AH534" i="1"/>
  <c r="X534" i="1" s="1"/>
  <c r="AH535" i="1"/>
  <c r="AH536" i="1"/>
  <c r="X536" i="1" s="1"/>
  <c r="AH537" i="1"/>
  <c r="AH538" i="1"/>
  <c r="X538" i="1" s="1"/>
  <c r="AH539" i="1"/>
  <c r="X539" i="1" s="1"/>
  <c r="AH540" i="1"/>
  <c r="X540" i="1" s="1"/>
  <c r="AH541" i="1"/>
  <c r="AH542" i="1"/>
  <c r="X542" i="1" s="1"/>
  <c r="AH543" i="1"/>
  <c r="AH544" i="1"/>
  <c r="X544" i="1" s="1"/>
  <c r="AH545" i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AH568" i="1"/>
  <c r="X568" i="1" s="1"/>
  <c r="AH569" i="1"/>
  <c r="AH570" i="1"/>
  <c r="X570" i="1" s="1"/>
  <c r="AH571" i="1"/>
  <c r="X571" i="1" s="1"/>
  <c r="AH572" i="1"/>
  <c r="X572" i="1" s="1"/>
  <c r="AH573" i="1"/>
  <c r="AH574" i="1"/>
  <c r="X574" i="1" s="1"/>
  <c r="AH575" i="1"/>
  <c r="AH576" i="1"/>
  <c r="X576" i="1" s="1"/>
  <c r="AH577" i="1"/>
  <c r="AH578" i="1"/>
  <c r="X578" i="1" s="1"/>
  <c r="AH579" i="1"/>
  <c r="X579" i="1" s="1"/>
  <c r="AH580" i="1"/>
  <c r="X580" i="1" s="1"/>
  <c r="AH581" i="1"/>
  <c r="AH582" i="1"/>
  <c r="X582" i="1" s="1"/>
  <c r="AH583" i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AH608" i="1"/>
  <c r="X608" i="1" s="1"/>
  <c r="AH609" i="1"/>
  <c r="AH610" i="1"/>
  <c r="X610" i="1" s="1"/>
  <c r="AH611" i="1"/>
  <c r="X611" i="1" s="1"/>
  <c r="AH612" i="1"/>
  <c r="X612" i="1" s="1"/>
  <c r="AH613" i="1"/>
  <c r="AH614" i="1"/>
  <c r="X614" i="1" s="1"/>
  <c r="AH615" i="1"/>
  <c r="AH616" i="1"/>
  <c r="X616" i="1" s="1"/>
  <c r="AH617" i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AH624" i="1"/>
  <c r="X624" i="1" s="1"/>
  <c r="AH625" i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AH638" i="1"/>
  <c r="X638" i="1" s="1"/>
  <c r="AH639" i="1"/>
  <c r="AH640" i="1"/>
  <c r="X640" i="1" s="1"/>
  <c r="AH641" i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AH648" i="1"/>
  <c r="X648" i="1" s="1"/>
  <c r="AH649" i="1"/>
  <c r="X649" i="1" s="1"/>
  <c r="AH650" i="1"/>
  <c r="X650" i="1" s="1"/>
  <c r="AH651" i="1"/>
  <c r="X651" i="1" s="1"/>
  <c r="AH652" i="1"/>
  <c r="X652" i="1" s="1"/>
  <c r="AH653" i="1"/>
  <c r="AH654" i="1"/>
  <c r="X654" i="1" s="1"/>
  <c r="AH655" i="1"/>
  <c r="X655" i="1" s="1"/>
  <c r="AH656" i="1"/>
  <c r="X656" i="1" s="1"/>
  <c r="AH657" i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AH678" i="1"/>
  <c r="X678" i="1" s="1"/>
  <c r="AH679" i="1"/>
  <c r="AH680" i="1"/>
  <c r="X680" i="1" s="1"/>
  <c r="AH681" i="1"/>
  <c r="AH682" i="1"/>
  <c r="X682" i="1" s="1"/>
  <c r="AH683" i="1"/>
  <c r="X683" i="1" s="1"/>
  <c r="AH684" i="1"/>
  <c r="X684" i="1" s="1"/>
  <c r="AH685" i="1"/>
  <c r="AH686" i="1"/>
  <c r="X686" i="1" s="1"/>
  <c r="AH687" i="1"/>
  <c r="X687" i="1" s="1"/>
  <c r="AH688" i="1"/>
  <c r="X688" i="1" s="1"/>
  <c r="AH689" i="1"/>
  <c r="AH690" i="1"/>
  <c r="X690" i="1" s="1"/>
  <c r="AH691" i="1"/>
  <c r="X691" i="1" s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X703" i="1" s="1"/>
  <c r="AH704" i="1"/>
  <c r="X704" i="1" s="1"/>
  <c r="AH705" i="1"/>
  <c r="AH706" i="1"/>
  <c r="X706" i="1" s="1"/>
  <c r="AH707" i="1"/>
  <c r="X707" i="1" s="1"/>
  <c r="AH708" i="1"/>
  <c r="X708" i="1" s="1"/>
  <c r="AH709" i="1"/>
  <c r="AH710" i="1"/>
  <c r="X710" i="1" s="1"/>
  <c r="AH711" i="1"/>
  <c r="AH712" i="1"/>
  <c r="X712" i="1" s="1"/>
  <c r="AH713" i="1"/>
  <c r="AH714" i="1"/>
  <c r="X714" i="1" s="1"/>
  <c r="AH715" i="1"/>
  <c r="X715" i="1" s="1"/>
  <c r="AH716" i="1"/>
  <c r="X716" i="1" s="1"/>
  <c r="AH717" i="1"/>
  <c r="AH718" i="1"/>
  <c r="X718" i="1" s="1"/>
  <c r="AH719" i="1"/>
  <c r="X719" i="1" s="1"/>
  <c r="AH720" i="1"/>
  <c r="X720" i="1" s="1"/>
  <c r="AH721" i="1"/>
  <c r="AH722" i="1"/>
  <c r="X722" i="1" s="1"/>
  <c r="AH723" i="1"/>
  <c r="X723" i="1" s="1"/>
  <c r="AH724" i="1"/>
  <c r="X724" i="1" s="1"/>
  <c r="AH725" i="1"/>
  <c r="AH726" i="1"/>
  <c r="X726" i="1" s="1"/>
  <c r="AH727" i="1"/>
  <c r="AH728" i="1"/>
  <c r="X728" i="1" s="1"/>
  <c r="AH729" i="1"/>
  <c r="AH730" i="1"/>
  <c r="X730" i="1" s="1"/>
  <c r="AH731" i="1"/>
  <c r="X731" i="1" s="1"/>
  <c r="AH732" i="1"/>
  <c r="X732" i="1" s="1"/>
  <c r="AH733" i="1"/>
  <c r="AH734" i="1"/>
  <c r="X734" i="1" s="1"/>
  <c r="AH735" i="1"/>
  <c r="X735" i="1" s="1"/>
  <c r="AH736" i="1"/>
  <c r="X736" i="1" s="1"/>
  <c r="AH737" i="1"/>
  <c r="X737" i="1" s="1"/>
  <c r="AH738" i="1"/>
  <c r="X738" i="1" s="1"/>
  <c r="AH739" i="1"/>
  <c r="X739" i="1" s="1"/>
  <c r="AH740" i="1"/>
  <c r="X740" i="1" s="1"/>
  <c r="AH741" i="1"/>
  <c r="AH742" i="1"/>
  <c r="X742" i="1" s="1"/>
  <c r="AH743" i="1"/>
  <c r="AH744" i="1"/>
  <c r="X744" i="1" s="1"/>
  <c r="AH745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64" i="1"/>
  <c r="AG180" i="1"/>
  <c r="AG185" i="1"/>
  <c r="AG192" i="1"/>
  <c r="AG195" i="1"/>
  <c r="AG202" i="1"/>
  <c r="AG211" i="1"/>
  <c r="AG215" i="1"/>
  <c r="AG223" i="1"/>
  <c r="AG256" i="1"/>
  <c r="AG262" i="1"/>
  <c r="AG278" i="1"/>
  <c r="AG281" i="1"/>
  <c r="AG291" i="1"/>
  <c r="AG310" i="1"/>
  <c r="AG327" i="1"/>
  <c r="AG332" i="1"/>
  <c r="AG335" i="1"/>
  <c r="AG346" i="1"/>
  <c r="AG350" i="1"/>
  <c r="AG356" i="1"/>
  <c r="AG361" i="1"/>
  <c r="AG363" i="1"/>
  <c r="AG364" i="1"/>
  <c r="AG366" i="1"/>
  <c r="AG368" i="1"/>
  <c r="AG370" i="1"/>
  <c r="AG374" i="1"/>
  <c r="AG377" i="1"/>
  <c r="AG380" i="1"/>
  <c r="AG384" i="1"/>
  <c r="AG388" i="1"/>
  <c r="AG392" i="1"/>
  <c r="AG402" i="1"/>
  <c r="AG414" i="1"/>
  <c r="AG418" i="1"/>
  <c r="AG420" i="1"/>
  <c r="AG422" i="1"/>
  <c r="AG424" i="1"/>
  <c r="AG426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8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N3" i="1"/>
  <c r="AN4" i="1"/>
  <c r="AN5" i="1"/>
  <c r="AN6" i="1"/>
  <c r="AN7" i="1"/>
  <c r="AN8" i="1"/>
  <c r="AN9" i="1"/>
  <c r="AN10" i="1"/>
  <c r="AN11" i="1"/>
  <c r="AN12" i="1"/>
  <c r="AO12" i="1" s="1"/>
  <c r="AN13" i="1"/>
  <c r="AN14" i="1"/>
  <c r="AN15" i="1"/>
  <c r="AN16" i="1"/>
  <c r="AN17" i="1"/>
  <c r="AO17" i="1" s="1"/>
  <c r="AN18" i="1"/>
  <c r="AN19" i="1"/>
  <c r="AN20" i="1"/>
  <c r="AN21" i="1"/>
  <c r="AN22" i="1"/>
  <c r="AO22" i="1" s="1"/>
  <c r="AN23" i="1"/>
  <c r="AN24" i="1"/>
  <c r="AO24" i="1" s="1"/>
  <c r="AN25" i="1"/>
  <c r="AN26" i="1"/>
  <c r="AN27" i="1"/>
  <c r="AN28" i="1"/>
  <c r="AN29" i="1"/>
  <c r="AN30" i="1"/>
  <c r="AN31" i="1"/>
  <c r="AO31" i="1" s="1"/>
  <c r="AN32" i="1"/>
  <c r="AN33" i="1"/>
  <c r="AO33" i="1" s="1"/>
  <c r="AN34" i="1"/>
  <c r="AN35" i="1"/>
  <c r="AO35" i="1" s="1"/>
  <c r="AN36" i="1"/>
  <c r="AN37" i="1"/>
  <c r="AO37" i="1" s="1"/>
  <c r="AN38" i="1"/>
  <c r="AN39" i="1"/>
  <c r="AN40" i="1"/>
  <c r="AN41" i="1"/>
  <c r="AN42" i="1"/>
  <c r="AN43" i="1"/>
  <c r="AN44" i="1"/>
  <c r="AN45" i="1"/>
  <c r="AO45" i="1" s="1"/>
  <c r="AN46" i="1"/>
  <c r="AN47" i="1"/>
  <c r="AN48" i="1"/>
  <c r="AO48" i="1" s="1"/>
  <c r="AN49" i="1"/>
  <c r="AN50" i="1"/>
  <c r="AO50" i="1" s="1"/>
  <c r="AN51" i="1"/>
  <c r="AN52" i="1"/>
  <c r="AO52" i="1" s="1"/>
  <c r="AN53" i="1"/>
  <c r="AN54" i="1"/>
  <c r="AN55" i="1"/>
  <c r="AN56" i="1"/>
  <c r="AN59" i="1"/>
  <c r="AO59" i="1" s="1"/>
  <c r="AN60" i="1"/>
  <c r="AN62" i="1"/>
  <c r="AO62" i="1" s="1"/>
  <c r="AN63" i="1"/>
  <c r="AN64" i="1"/>
  <c r="AO64" i="1" s="1"/>
  <c r="AN65" i="1"/>
  <c r="AN66" i="1"/>
  <c r="AN67" i="1"/>
  <c r="AN68" i="1"/>
  <c r="AN69" i="1"/>
  <c r="AO69" i="1" s="1"/>
  <c r="AN70" i="1"/>
  <c r="AN71" i="1"/>
  <c r="AN72" i="1"/>
  <c r="AO72" i="1" s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O85" i="1" s="1"/>
  <c r="AN86" i="1"/>
  <c r="AN87" i="1"/>
  <c r="AN88" i="1"/>
  <c r="AN89" i="1"/>
  <c r="AN90" i="1"/>
  <c r="AN91" i="1"/>
  <c r="AN92" i="1"/>
  <c r="AN93" i="1"/>
  <c r="AN94" i="1"/>
  <c r="AN95" i="1"/>
  <c r="AO95" i="1" s="1"/>
  <c r="AN96" i="1"/>
  <c r="AN97" i="1"/>
  <c r="AO97" i="1" s="1"/>
  <c r="AN98" i="1"/>
  <c r="AN99" i="1"/>
  <c r="AN101" i="1"/>
  <c r="AN102" i="1"/>
  <c r="AN103" i="1"/>
  <c r="AN104" i="1"/>
  <c r="AN105" i="1"/>
  <c r="AO105" i="1" s="1"/>
  <c r="AN106" i="1"/>
  <c r="AN107" i="1"/>
  <c r="AN108" i="1"/>
  <c r="AN109" i="1"/>
  <c r="AO109" i="1" s="1"/>
  <c r="AN110" i="1"/>
  <c r="AN111" i="1"/>
  <c r="AO111" i="1" s="1"/>
  <c r="AN112" i="1"/>
  <c r="AN113" i="1"/>
  <c r="AN114" i="1"/>
  <c r="AN115" i="1"/>
  <c r="AN116" i="1"/>
  <c r="AO116" i="1" s="1"/>
  <c r="AN117" i="1"/>
  <c r="AN118" i="1"/>
  <c r="AN119" i="1"/>
  <c r="AN120" i="1"/>
  <c r="AN121" i="1"/>
  <c r="AN122" i="1"/>
  <c r="AO122" i="1" s="1"/>
  <c r="AN125" i="1"/>
  <c r="AN126" i="1"/>
  <c r="AN127" i="1"/>
  <c r="AN128" i="1"/>
  <c r="AN129" i="1"/>
  <c r="AO129" i="1" s="1"/>
  <c r="AN130" i="1"/>
  <c r="AN132" i="1"/>
  <c r="AN133" i="1"/>
  <c r="AN134" i="1"/>
  <c r="AN135" i="1"/>
  <c r="AO135" i="1" s="1"/>
  <c r="AN136" i="1"/>
  <c r="AN137" i="1"/>
  <c r="AN138" i="1"/>
  <c r="AN139" i="1"/>
  <c r="AN140" i="1"/>
  <c r="AN141" i="1"/>
  <c r="AO141" i="1" s="1"/>
  <c r="AN142" i="1"/>
  <c r="AN143" i="1"/>
  <c r="AN144" i="1"/>
  <c r="AO144" i="1" s="1"/>
  <c r="AN145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O162" i="1" s="1"/>
  <c r="AN163" i="1"/>
  <c r="AN164" i="1"/>
  <c r="AO164" i="1" s="1"/>
  <c r="AN165" i="1"/>
  <c r="AN166" i="1"/>
  <c r="AN167" i="1"/>
  <c r="AN168" i="1"/>
  <c r="AN169" i="1"/>
  <c r="AN170" i="1"/>
  <c r="AN171" i="1"/>
  <c r="AN172" i="1"/>
  <c r="AO172" i="1" s="1"/>
  <c r="AN173" i="1"/>
  <c r="AN174" i="1"/>
  <c r="AN175" i="1"/>
  <c r="AN176" i="1"/>
  <c r="AN177" i="1"/>
  <c r="AO177" i="1" s="1"/>
  <c r="AN178" i="1"/>
  <c r="AN179" i="1"/>
  <c r="AN180" i="1"/>
  <c r="AO180" i="1" s="1"/>
  <c r="AN181" i="1"/>
  <c r="AN182" i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O192" i="1" s="1"/>
  <c r="AN193" i="1"/>
  <c r="AN194" i="1"/>
  <c r="AN195" i="1"/>
  <c r="AN196" i="1"/>
  <c r="AN197" i="1"/>
  <c r="AN198" i="1"/>
  <c r="AN199" i="1"/>
  <c r="AN200" i="1"/>
  <c r="AN201" i="1"/>
  <c r="AN202" i="1"/>
  <c r="AO202" i="1" s="1"/>
  <c r="AN203" i="1"/>
  <c r="AO203" i="1" s="1"/>
  <c r="AN204" i="1"/>
  <c r="AN205" i="1"/>
  <c r="AN206" i="1"/>
  <c r="AN207" i="1"/>
  <c r="AN208" i="1"/>
  <c r="AO208" i="1" s="1"/>
  <c r="AN209" i="1"/>
  <c r="AN210" i="1"/>
  <c r="AN211" i="1"/>
  <c r="AN212" i="1"/>
  <c r="AN213" i="1"/>
  <c r="AN214" i="1"/>
  <c r="AN215" i="1"/>
  <c r="AO215" i="1" s="1"/>
  <c r="AN216" i="1"/>
  <c r="AN217" i="1"/>
  <c r="AN218" i="1"/>
  <c r="AO218" i="1" s="1"/>
  <c r="AN219" i="1"/>
  <c r="AQ219" i="1" s="1"/>
  <c r="AR219" i="1" s="1"/>
  <c r="AN220" i="1"/>
  <c r="AO220" i="1" s="1"/>
  <c r="AN221" i="1"/>
  <c r="AN222" i="1"/>
  <c r="AO222" i="1" s="1"/>
  <c r="AN223" i="1"/>
  <c r="AN224" i="1"/>
  <c r="AO224" i="1" s="1"/>
  <c r="AN225" i="1"/>
  <c r="AN226" i="1"/>
  <c r="AN227" i="1"/>
  <c r="AN228" i="1"/>
  <c r="AO228" i="1" s="1"/>
  <c r="AN229" i="1"/>
  <c r="AN230" i="1"/>
  <c r="AN231" i="1"/>
  <c r="AN232" i="1"/>
  <c r="AN233" i="1"/>
  <c r="AO233" i="1" s="1"/>
  <c r="AN234" i="1"/>
  <c r="AN235" i="1"/>
  <c r="AO235" i="1" s="1"/>
  <c r="AN236" i="1"/>
  <c r="AN237" i="1"/>
  <c r="AN238" i="1"/>
  <c r="AN239" i="1"/>
  <c r="AN240" i="1"/>
  <c r="AO240" i="1" s="1"/>
  <c r="AN241" i="1"/>
  <c r="AN242" i="1"/>
  <c r="AN243" i="1"/>
  <c r="AN244" i="1"/>
  <c r="AN245" i="1"/>
  <c r="AO245" i="1" s="1"/>
  <c r="AN246" i="1"/>
  <c r="AN247" i="1"/>
  <c r="AN248" i="1"/>
  <c r="AN249" i="1"/>
  <c r="AO249" i="1" s="1"/>
  <c r="AN250" i="1"/>
  <c r="AN251" i="1"/>
  <c r="AO251" i="1" s="1"/>
  <c r="AN252" i="1"/>
  <c r="AN253" i="1"/>
  <c r="AN254" i="1"/>
  <c r="AO254" i="1" s="1"/>
  <c r="AN255" i="1"/>
  <c r="AN256" i="1"/>
  <c r="AO256" i="1" s="1"/>
  <c r="AN257" i="1"/>
  <c r="AN258" i="1"/>
  <c r="AO258" i="1" s="1"/>
  <c r="AN259" i="1"/>
  <c r="AN260" i="1"/>
  <c r="AO260" i="1" s="1"/>
  <c r="AN261" i="1"/>
  <c r="AN262" i="1"/>
  <c r="AN263" i="1"/>
  <c r="AN264" i="1"/>
  <c r="AO264" i="1" s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O278" i="1" s="1"/>
  <c r="AN279" i="1"/>
  <c r="AO279" i="1" s="1"/>
  <c r="AN280" i="1"/>
  <c r="AN281" i="1"/>
  <c r="AO281" i="1" s="1"/>
  <c r="AN282" i="1"/>
  <c r="AN283" i="1"/>
  <c r="AN284" i="1"/>
  <c r="AN285" i="1"/>
  <c r="AN286" i="1"/>
  <c r="AN287" i="1"/>
  <c r="AN288" i="1"/>
  <c r="AN289" i="1"/>
  <c r="AN290" i="1"/>
  <c r="AN291" i="1"/>
  <c r="AO291" i="1" s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O303" i="1" s="1"/>
  <c r="AN304" i="1"/>
  <c r="AN305" i="1"/>
  <c r="AN306" i="1"/>
  <c r="AN307" i="1"/>
  <c r="AN308" i="1"/>
  <c r="AN309" i="1"/>
  <c r="AN310" i="1"/>
  <c r="AO310" i="1" s="1"/>
  <c r="AN311" i="1"/>
  <c r="AN312" i="1"/>
  <c r="AN313" i="1"/>
  <c r="AO313" i="1" s="1"/>
  <c r="AN314" i="1"/>
  <c r="AN315" i="1"/>
  <c r="AN316" i="1"/>
  <c r="AN317" i="1"/>
  <c r="AN318" i="1"/>
  <c r="AN319" i="1"/>
  <c r="AN320" i="1"/>
  <c r="AN321" i="1"/>
  <c r="AN322" i="1"/>
  <c r="AN323" i="1"/>
  <c r="AN324" i="1"/>
  <c r="AO324" i="1" s="1"/>
  <c r="AN325" i="1"/>
  <c r="AN326" i="1"/>
  <c r="AN327" i="1"/>
  <c r="AN328" i="1"/>
  <c r="AN329" i="1"/>
  <c r="AN330" i="1"/>
  <c r="AN331" i="1"/>
  <c r="AN332" i="1"/>
  <c r="AO332" i="1" s="1"/>
  <c r="AN333" i="1"/>
  <c r="AN334" i="1"/>
  <c r="AN335" i="1"/>
  <c r="AN336" i="1"/>
  <c r="AN337" i="1"/>
  <c r="AN338" i="1"/>
  <c r="AN339" i="1"/>
  <c r="AO339" i="1" s="1"/>
  <c r="AN341" i="1"/>
  <c r="AN342" i="1"/>
  <c r="AN343" i="1"/>
  <c r="AN344" i="1"/>
  <c r="AN345" i="1"/>
  <c r="AN346" i="1"/>
  <c r="AO346" i="1" s="1"/>
  <c r="AN347" i="1"/>
  <c r="AN348" i="1"/>
  <c r="AO348" i="1" s="1"/>
  <c r="AN349" i="1"/>
  <c r="AN350" i="1"/>
  <c r="AO350" i="1" s="1"/>
  <c r="AN351" i="1"/>
  <c r="AN352" i="1"/>
  <c r="AN353" i="1"/>
  <c r="AN354" i="1"/>
  <c r="AN355" i="1"/>
  <c r="AN356" i="1"/>
  <c r="AN357" i="1"/>
  <c r="AN358" i="1"/>
  <c r="AN359" i="1"/>
  <c r="AN360" i="1"/>
  <c r="AN361" i="1"/>
  <c r="AO361" i="1" s="1"/>
  <c r="AN362" i="1"/>
  <c r="AN363" i="1"/>
  <c r="AO363" i="1" s="1"/>
  <c r="AN364" i="1"/>
  <c r="AN365" i="1"/>
  <c r="AO365" i="1" s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O377" i="1" s="1"/>
  <c r="AN378" i="1"/>
  <c r="AN379" i="1"/>
  <c r="AN380" i="1"/>
  <c r="AO380" i="1" s="1"/>
  <c r="AN381" i="1"/>
  <c r="AN382" i="1"/>
  <c r="AO382" i="1" s="1"/>
  <c r="AN383" i="1"/>
  <c r="AN384" i="1"/>
  <c r="AN385" i="1"/>
  <c r="AN386" i="1"/>
  <c r="AO386" i="1" s="1"/>
  <c r="AN387" i="1"/>
  <c r="AN388" i="1"/>
  <c r="AO388" i="1" s="1"/>
  <c r="AN389" i="1"/>
  <c r="AN390" i="1"/>
  <c r="AN391" i="1"/>
  <c r="AN392" i="1"/>
  <c r="AN393" i="1"/>
  <c r="AN394" i="1"/>
  <c r="AN395" i="1"/>
  <c r="AN396" i="1"/>
  <c r="AN397" i="1"/>
  <c r="AO397" i="1" s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O414" i="1" s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O428" i="1" s="1"/>
  <c r="AN429" i="1"/>
  <c r="AN430" i="1"/>
  <c r="AN431" i="1"/>
  <c r="AN432" i="1"/>
  <c r="AN433" i="1"/>
  <c r="AO433" i="1" s="1"/>
  <c r="AN434" i="1"/>
  <c r="AN435" i="1"/>
  <c r="AO435" i="1" s="1"/>
  <c r="AN437" i="1"/>
  <c r="AO437" i="1" s="1"/>
  <c r="AN438" i="1"/>
  <c r="AN439" i="1"/>
  <c r="AN440" i="1"/>
  <c r="AN441" i="1"/>
  <c r="AN442" i="1"/>
  <c r="AO442" i="1" s="1"/>
  <c r="AN443" i="1"/>
  <c r="AN444" i="1"/>
  <c r="AN445" i="1"/>
  <c r="AO445" i="1" s="1"/>
  <c r="AN446" i="1"/>
  <c r="AO446" i="1" s="1"/>
  <c r="AN447" i="1"/>
  <c r="AN448" i="1"/>
  <c r="AN449" i="1"/>
  <c r="AN450" i="1"/>
  <c r="AO450" i="1" s="1"/>
  <c r="AN451" i="1"/>
  <c r="AN452" i="1"/>
  <c r="AN453" i="1"/>
  <c r="AN454" i="1"/>
  <c r="AN455" i="1"/>
  <c r="AN456" i="1"/>
  <c r="AN457" i="1"/>
  <c r="AN458" i="1"/>
  <c r="AN459" i="1"/>
  <c r="AO459" i="1" s="1"/>
  <c r="AN460" i="1"/>
  <c r="AN461" i="1"/>
  <c r="AO461" i="1" s="1"/>
  <c r="AN462" i="1"/>
  <c r="AN463" i="1"/>
  <c r="AN464" i="1"/>
  <c r="AN465" i="1"/>
  <c r="AN466" i="1"/>
  <c r="AN467" i="1"/>
  <c r="AN468" i="1"/>
  <c r="AN469" i="1"/>
  <c r="AN470" i="1"/>
  <c r="AN471" i="1"/>
  <c r="AN472" i="1"/>
  <c r="AO472" i="1" s="1"/>
  <c r="AN473" i="1"/>
  <c r="AN474" i="1"/>
  <c r="AN475" i="1"/>
  <c r="AN476" i="1"/>
  <c r="AN477" i="1"/>
  <c r="AN478" i="1"/>
  <c r="AO478" i="1" s="1"/>
  <c r="AN479" i="1"/>
  <c r="AN480" i="1"/>
  <c r="AN481" i="1"/>
  <c r="AN482" i="1"/>
  <c r="AO482" i="1" s="1"/>
  <c r="AN483" i="1"/>
  <c r="AN484" i="1"/>
  <c r="AN485" i="1"/>
  <c r="AN486" i="1"/>
  <c r="AO486" i="1" s="1"/>
  <c r="AN487" i="1"/>
  <c r="AN488" i="1"/>
  <c r="AN489" i="1"/>
  <c r="AN490" i="1"/>
  <c r="AN491" i="1"/>
  <c r="AO491" i="1" s="1"/>
  <c r="AN492" i="1"/>
  <c r="AN493" i="1"/>
  <c r="AN494" i="1"/>
  <c r="AN495" i="1"/>
  <c r="AN496" i="1"/>
  <c r="AO496" i="1" s="1"/>
  <c r="AN497" i="1"/>
  <c r="AN498" i="1"/>
  <c r="AN499" i="1"/>
  <c r="AN500" i="1"/>
  <c r="AN501" i="1"/>
  <c r="AN502" i="1"/>
  <c r="AO502" i="1" s="1"/>
  <c r="AN503" i="1"/>
  <c r="AN504" i="1"/>
  <c r="AN505" i="1"/>
  <c r="AO505" i="1" s="1"/>
  <c r="AN506" i="1"/>
  <c r="AN507" i="1"/>
  <c r="AN508" i="1"/>
  <c r="AN509" i="1"/>
  <c r="AO509" i="1" s="1"/>
  <c r="AN510" i="1"/>
  <c r="AO510" i="1" s="1"/>
  <c r="AN511" i="1"/>
  <c r="AN512" i="1"/>
  <c r="AN513" i="1"/>
  <c r="AN514" i="1"/>
  <c r="AN515" i="1"/>
  <c r="AN516" i="1"/>
  <c r="AN517" i="1"/>
  <c r="AO517" i="1" s="1"/>
  <c r="AN518" i="1"/>
  <c r="AN519" i="1"/>
  <c r="AO519" i="1" s="1"/>
  <c r="AN520" i="1"/>
  <c r="AN521" i="1"/>
  <c r="AN522" i="1"/>
  <c r="AN523" i="1"/>
  <c r="AO523" i="1" s="1"/>
  <c r="AN524" i="1"/>
  <c r="AN525" i="1"/>
  <c r="AO525" i="1" s="1"/>
  <c r="AN526" i="1"/>
  <c r="AN528" i="1"/>
  <c r="AO528" i="1" s="1"/>
  <c r="AN529" i="1"/>
  <c r="AN530" i="1"/>
  <c r="AO530" i="1" s="1"/>
  <c r="AN531" i="1"/>
  <c r="AO531" i="1" s="1"/>
  <c r="AN532" i="1"/>
  <c r="AO532" i="1" s="1"/>
  <c r="AN533" i="1"/>
  <c r="AO533" i="1" s="1"/>
  <c r="AN534" i="1"/>
  <c r="AO534" i="1" s="1"/>
  <c r="AN535" i="1"/>
  <c r="AO535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3" i="1"/>
  <c r="AO553" i="1" s="1"/>
  <c r="AN554" i="1"/>
  <c r="AO554" i="1" s="1"/>
  <c r="AN555" i="1"/>
  <c r="AO555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AN628" i="1"/>
  <c r="AO628" i="1" s="1"/>
  <c r="AN629" i="1"/>
  <c r="AO629" i="1" s="1"/>
  <c r="AN630" i="1"/>
  <c r="AO630" i="1" s="1"/>
  <c r="AN631" i="1"/>
  <c r="AO631" i="1" s="1"/>
  <c r="AN632" i="1"/>
  <c r="AO632" i="1" s="1"/>
  <c r="AN633" i="1"/>
  <c r="AO633" i="1" s="1"/>
  <c r="AN634" i="1"/>
  <c r="AO634" i="1" s="1"/>
  <c r="AN635" i="1"/>
  <c r="AO635" i="1" s="1"/>
  <c r="AN636" i="1"/>
  <c r="AO636" i="1" s="1"/>
  <c r="AN637" i="1"/>
  <c r="AO637" i="1" s="1"/>
  <c r="AN638" i="1"/>
  <c r="AO638" i="1" s="1"/>
  <c r="AN639" i="1"/>
  <c r="AO639" i="1" s="1"/>
  <c r="AN640" i="1"/>
  <c r="AO640" i="1" s="1"/>
  <c r="AN641" i="1"/>
  <c r="AO641" i="1" s="1"/>
  <c r="AN642" i="1"/>
  <c r="AO642" i="1" s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O651" i="1" s="1"/>
  <c r="AN652" i="1"/>
  <c r="AO652" i="1" s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4" i="1"/>
  <c r="AO664" i="1" s="1"/>
  <c r="AN665" i="1"/>
  <c r="AO665" i="1" s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D525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AJ525" i="1"/>
  <c r="AJ528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O526" i="1" l="1"/>
  <c r="AO515" i="1"/>
  <c r="AO507" i="1"/>
  <c r="AO493" i="1"/>
  <c r="AO483" i="1"/>
  <c r="AO449" i="1"/>
  <c r="AO441" i="1"/>
  <c r="AO432" i="1"/>
  <c r="AO426" i="1"/>
  <c r="AO422" i="1"/>
  <c r="AO402" i="1"/>
  <c r="AO392" i="1"/>
  <c r="AO384" i="1"/>
  <c r="AO356" i="1"/>
  <c r="AO335" i="1"/>
  <c r="AO327" i="1"/>
  <c r="AO223" i="1"/>
  <c r="AO211" i="1"/>
  <c r="AO93" i="1"/>
  <c r="AG524" i="1"/>
  <c r="AO524" i="1" s="1"/>
  <c r="AG429" i="1"/>
  <c r="AG425" i="1"/>
  <c r="AO425" i="1" s="1"/>
  <c r="AG423" i="1"/>
  <c r="AO423" i="1" s="1"/>
  <c r="AG421" i="1"/>
  <c r="AG419" i="1"/>
  <c r="AG401" i="1"/>
  <c r="AO401" i="1" s="1"/>
  <c r="AG369" i="1"/>
  <c r="AO369" i="1" s="1"/>
  <c r="AG367" i="1"/>
  <c r="AO367" i="1" s="1"/>
  <c r="AG353" i="1"/>
  <c r="AG322" i="1"/>
  <c r="AO322" i="1" s="1"/>
  <c r="AG300" i="1"/>
  <c r="AO300" i="1" s="1"/>
  <c r="AG232" i="1"/>
  <c r="AG206" i="1"/>
  <c r="AG176" i="1"/>
  <c r="AG156" i="1"/>
  <c r="AO529" i="1"/>
  <c r="AO429" i="1"/>
  <c r="AO421" i="1"/>
  <c r="AO353" i="1"/>
  <c r="AO232" i="1"/>
  <c r="AO206" i="1"/>
  <c r="AO176" i="1"/>
  <c r="AO156" i="1"/>
  <c r="AQ529" i="1"/>
  <c r="AR529" i="1" s="1"/>
  <c r="AQ526" i="1"/>
  <c r="AR526" i="1" s="1"/>
  <c r="AQ524" i="1"/>
  <c r="AR524" i="1" s="1"/>
  <c r="AQ516" i="1"/>
  <c r="AR516" i="1" s="1"/>
  <c r="AS512" i="1"/>
  <c r="AO512" i="1"/>
  <c r="AQ508" i="1"/>
  <c r="AR508" i="1" s="1"/>
  <c r="AQ506" i="1"/>
  <c r="AR506" i="1" s="1"/>
  <c r="AQ504" i="1"/>
  <c r="AR504" i="1" s="1"/>
  <c r="AQ500" i="1"/>
  <c r="AR500" i="1" s="1"/>
  <c r="AQ494" i="1"/>
  <c r="AR494" i="1" s="1"/>
  <c r="AQ484" i="1"/>
  <c r="AR484" i="1" s="1"/>
  <c r="AO484" i="1"/>
  <c r="AQ462" i="1"/>
  <c r="AR462" i="1" s="1"/>
  <c r="AQ460" i="1"/>
  <c r="AR460" i="1" s="1"/>
  <c r="AS454" i="1"/>
  <c r="AQ448" i="1"/>
  <c r="AR448" i="1" s="1"/>
  <c r="AQ438" i="1"/>
  <c r="AR438" i="1" s="1"/>
  <c r="AO438" i="1"/>
  <c r="AQ431" i="1"/>
  <c r="AR431" i="1" s="1"/>
  <c r="AQ427" i="1"/>
  <c r="AR427" i="1" s="1"/>
  <c r="AQ419" i="1"/>
  <c r="AR419" i="1" s="1"/>
  <c r="AO419" i="1"/>
  <c r="AQ385" i="1"/>
  <c r="AR385" i="1" s="1"/>
  <c r="AQ383" i="1"/>
  <c r="AR383" i="1" s="1"/>
  <c r="AQ381" i="1"/>
  <c r="AR381" i="1" s="1"/>
  <c r="AQ379" i="1"/>
  <c r="AR379" i="1" s="1"/>
  <c r="AQ375" i="1"/>
  <c r="AR375" i="1" s="1"/>
  <c r="AQ373" i="1"/>
  <c r="AR373" i="1" s="1"/>
  <c r="AO373" i="1"/>
  <c r="AQ357" i="1"/>
  <c r="AR357" i="1" s="1"/>
  <c r="AQ347" i="1"/>
  <c r="AR347" i="1" s="1"/>
  <c r="AQ330" i="1"/>
  <c r="AR330" i="1" s="1"/>
  <c r="AQ320" i="1"/>
  <c r="AR320" i="1" s="1"/>
  <c r="AQ314" i="1"/>
  <c r="AR314" i="1" s="1"/>
  <c r="AQ304" i="1"/>
  <c r="AR304" i="1" s="1"/>
  <c r="AQ298" i="1"/>
  <c r="AR298" i="1" s="1"/>
  <c r="AQ286" i="1"/>
  <c r="AR286" i="1" s="1"/>
  <c r="AQ280" i="1"/>
  <c r="AR280" i="1" s="1"/>
  <c r="AQ272" i="1"/>
  <c r="AR272" i="1" s="1"/>
  <c r="AS262" i="1"/>
  <c r="AO262" i="1"/>
  <c r="AQ252" i="1"/>
  <c r="AR252" i="1" s="1"/>
  <c r="AQ246" i="1"/>
  <c r="AR246" i="1" s="1"/>
  <c r="AQ242" i="1"/>
  <c r="AR242" i="1" s="1"/>
  <c r="AO242" i="1"/>
  <c r="AQ236" i="1"/>
  <c r="AR236" i="1" s="1"/>
  <c r="AQ234" i="1"/>
  <c r="AR234" i="1" s="1"/>
  <c r="AQ226" i="1"/>
  <c r="AR226" i="1" s="1"/>
  <c r="AO226" i="1"/>
  <c r="AQ204" i="1"/>
  <c r="AR204" i="1" s="1"/>
  <c r="AQ190" i="1"/>
  <c r="AR190" i="1" s="1"/>
  <c r="AQ158" i="1"/>
  <c r="AR158" i="1" s="1"/>
  <c r="AQ154" i="1"/>
  <c r="AR154" i="1" s="1"/>
  <c r="AQ152" i="1"/>
  <c r="AR152" i="1" s="1"/>
  <c r="AQ148" i="1"/>
  <c r="AR148" i="1" s="1"/>
  <c r="AQ142" i="1"/>
  <c r="AR142" i="1" s="1"/>
  <c r="AQ140" i="1"/>
  <c r="AR140" i="1" s="1"/>
  <c r="AQ136" i="1"/>
  <c r="AR136" i="1" s="1"/>
  <c r="AQ127" i="1"/>
  <c r="AR127" i="1" s="1"/>
  <c r="AQ125" i="1"/>
  <c r="AR125" i="1" s="1"/>
  <c r="AQ121" i="1"/>
  <c r="AR121" i="1" s="1"/>
  <c r="AQ117" i="1"/>
  <c r="AR117" i="1" s="1"/>
  <c r="AQ115" i="1"/>
  <c r="AR115" i="1" s="1"/>
  <c r="AQ107" i="1"/>
  <c r="AR107" i="1" s="1"/>
  <c r="AQ101" i="1"/>
  <c r="AR101" i="1" s="1"/>
  <c r="AQ98" i="1"/>
  <c r="AR98" i="1" s="1"/>
  <c r="AQ96" i="1"/>
  <c r="AR96" i="1" s="1"/>
  <c r="AQ94" i="1"/>
  <c r="AR94" i="1" s="1"/>
  <c r="AS90" i="1"/>
  <c r="AO90" i="1"/>
  <c r="AQ86" i="1"/>
  <c r="AR86" i="1" s="1"/>
  <c r="AO86" i="1"/>
  <c r="AQ84" i="1"/>
  <c r="AR84" i="1" s="1"/>
  <c r="AQ80" i="1"/>
  <c r="AR80" i="1" s="1"/>
  <c r="AQ76" i="1"/>
  <c r="AR76" i="1" s="1"/>
  <c r="AQ74" i="1"/>
  <c r="AR74" i="1" s="1"/>
  <c r="AO74" i="1"/>
  <c r="AQ70" i="1"/>
  <c r="AR70" i="1" s="1"/>
  <c r="AQ68" i="1"/>
  <c r="AR68" i="1" s="1"/>
  <c r="AQ55" i="1"/>
  <c r="AR55" i="1" s="1"/>
  <c r="AQ53" i="1"/>
  <c r="AR53" i="1" s="1"/>
  <c r="AQ51" i="1"/>
  <c r="AR51" i="1" s="1"/>
  <c r="AQ49" i="1"/>
  <c r="AR49" i="1" s="1"/>
  <c r="AS43" i="1"/>
  <c r="AO43" i="1"/>
  <c r="AQ29" i="1"/>
  <c r="AR29" i="1" s="1"/>
  <c r="AO29" i="1"/>
  <c r="AQ25" i="1"/>
  <c r="AR25" i="1" s="1"/>
  <c r="AQ23" i="1"/>
  <c r="AR23" i="1" s="1"/>
  <c r="AQ21" i="1"/>
  <c r="AR21" i="1" s="1"/>
  <c r="AQ19" i="1"/>
  <c r="AR19" i="1" s="1"/>
  <c r="AQ9" i="1"/>
  <c r="AR9" i="1" s="1"/>
  <c r="AQ514" i="1"/>
  <c r="AR514" i="1" s="1"/>
  <c r="AQ454" i="1"/>
  <c r="AR454" i="1" s="1"/>
  <c r="AQ429" i="1"/>
  <c r="AR429" i="1" s="1"/>
  <c r="AS521" i="1"/>
  <c r="AO521" i="1"/>
  <c r="AQ513" i="1"/>
  <c r="AR513" i="1" s="1"/>
  <c r="AO513" i="1"/>
  <c r="AQ511" i="1"/>
  <c r="AR511" i="1" s="1"/>
  <c r="AO511" i="1"/>
  <c r="AQ503" i="1"/>
  <c r="AR503" i="1" s="1"/>
  <c r="AO503" i="1"/>
  <c r="AQ501" i="1"/>
  <c r="AR501" i="1" s="1"/>
  <c r="AO501" i="1"/>
  <c r="AQ499" i="1"/>
  <c r="AR499" i="1" s="1"/>
  <c r="AO499" i="1"/>
  <c r="AQ497" i="1"/>
  <c r="AR497" i="1" s="1"/>
  <c r="AO497" i="1"/>
  <c r="AQ495" i="1"/>
  <c r="AR495" i="1" s="1"/>
  <c r="AO495" i="1"/>
  <c r="AQ489" i="1"/>
  <c r="AR489" i="1" s="1"/>
  <c r="AO489" i="1"/>
  <c r="AQ485" i="1"/>
  <c r="AR485" i="1" s="1"/>
  <c r="AQ479" i="1"/>
  <c r="AR479" i="1" s="1"/>
  <c r="AQ477" i="1"/>
  <c r="AR477" i="1" s="1"/>
  <c r="AQ475" i="1"/>
  <c r="AR475" i="1" s="1"/>
  <c r="AQ473" i="1"/>
  <c r="AR473" i="1" s="1"/>
  <c r="AQ471" i="1"/>
  <c r="AR471" i="1" s="1"/>
  <c r="AQ465" i="1"/>
  <c r="AR465" i="1" s="1"/>
  <c r="AQ455" i="1"/>
  <c r="AR455" i="1" s="1"/>
  <c r="AQ453" i="1"/>
  <c r="AR453" i="1" s="1"/>
  <c r="AO453" i="1"/>
  <c r="AQ451" i="1"/>
  <c r="AR451" i="1" s="1"/>
  <c r="AQ447" i="1"/>
  <c r="AR447" i="1" s="1"/>
  <c r="AQ443" i="1"/>
  <c r="AR443" i="1" s="1"/>
  <c r="AQ439" i="1"/>
  <c r="AR439" i="1" s="1"/>
  <c r="AQ430" i="1"/>
  <c r="AR430" i="1" s="1"/>
  <c r="AQ424" i="1"/>
  <c r="AR424" i="1" s="1"/>
  <c r="AO424" i="1"/>
  <c r="AQ420" i="1"/>
  <c r="AR420" i="1" s="1"/>
  <c r="AO420" i="1"/>
  <c r="AQ418" i="1"/>
  <c r="AR418" i="1" s="1"/>
  <c r="AO418" i="1"/>
  <c r="AQ408" i="1"/>
  <c r="AR408" i="1" s="1"/>
  <c r="AQ406" i="1"/>
  <c r="AR406" i="1" s="1"/>
  <c r="AQ390" i="1"/>
  <c r="AR390" i="1" s="1"/>
  <c r="AQ378" i="1"/>
  <c r="AR378" i="1" s="1"/>
  <c r="AO378" i="1"/>
  <c r="AQ374" i="1"/>
  <c r="AR374" i="1" s="1"/>
  <c r="AO374" i="1"/>
  <c r="AQ370" i="1"/>
  <c r="AR370" i="1" s="1"/>
  <c r="AO370" i="1"/>
  <c r="AQ368" i="1"/>
  <c r="AR368" i="1" s="1"/>
  <c r="AO368" i="1"/>
  <c r="AQ366" i="1"/>
  <c r="AR366" i="1" s="1"/>
  <c r="AO366" i="1"/>
  <c r="AQ364" i="1"/>
  <c r="AR364" i="1" s="1"/>
  <c r="AO364" i="1"/>
  <c r="AQ352" i="1"/>
  <c r="AR352" i="1" s="1"/>
  <c r="AQ325" i="1"/>
  <c r="AR325" i="1" s="1"/>
  <c r="AQ323" i="1"/>
  <c r="AR323" i="1" s="1"/>
  <c r="AQ319" i="1"/>
  <c r="AR319" i="1" s="1"/>
  <c r="AO319" i="1"/>
  <c r="AQ317" i="1"/>
  <c r="AR317" i="1" s="1"/>
  <c r="AQ315" i="1"/>
  <c r="AR315" i="1" s="1"/>
  <c r="AQ275" i="1"/>
  <c r="AR275" i="1" s="1"/>
  <c r="AQ271" i="1"/>
  <c r="AR271" i="1" s="1"/>
  <c r="AO271" i="1"/>
  <c r="AQ261" i="1"/>
  <c r="AR261" i="1" s="1"/>
  <c r="AQ255" i="1"/>
  <c r="AR255" i="1" s="1"/>
  <c r="AQ243" i="1"/>
  <c r="AR243" i="1" s="1"/>
  <c r="AQ241" i="1"/>
  <c r="AR241" i="1" s="1"/>
  <c r="AQ229" i="1"/>
  <c r="AR229" i="1" s="1"/>
  <c r="AQ227" i="1"/>
  <c r="AR227" i="1" s="1"/>
  <c r="AQ225" i="1"/>
  <c r="AR225" i="1" s="1"/>
  <c r="AQ221" i="1"/>
  <c r="AR221" i="1" s="1"/>
  <c r="AQ217" i="1"/>
  <c r="AR217" i="1" s="1"/>
  <c r="AS195" i="1"/>
  <c r="AO195" i="1"/>
  <c r="AQ187" i="1"/>
  <c r="AR187" i="1" s="1"/>
  <c r="AQ175" i="1"/>
  <c r="AR175" i="1" s="1"/>
  <c r="AQ173" i="1"/>
  <c r="AR173" i="1" s="1"/>
  <c r="AQ167" i="1"/>
  <c r="AR167" i="1" s="1"/>
  <c r="AQ165" i="1"/>
  <c r="AR165" i="1" s="1"/>
  <c r="AQ163" i="1"/>
  <c r="AR163" i="1" s="1"/>
  <c r="AQ161" i="1"/>
  <c r="AR161" i="1" s="1"/>
  <c r="AQ159" i="1"/>
  <c r="AR159" i="1" s="1"/>
  <c r="AO159" i="1"/>
  <c r="AQ157" i="1"/>
  <c r="AR157" i="1" s="1"/>
  <c r="AO157" i="1"/>
  <c r="AQ153" i="1"/>
  <c r="AR153" i="1" s="1"/>
  <c r="AQ151" i="1"/>
  <c r="AR151" i="1" s="1"/>
  <c r="AO151" i="1"/>
  <c r="AQ145" i="1"/>
  <c r="AR145" i="1" s="1"/>
  <c r="AQ139" i="1"/>
  <c r="AR139" i="1" s="1"/>
  <c r="AO139" i="1"/>
  <c r="AQ130" i="1"/>
  <c r="AR130" i="1" s="1"/>
  <c r="AQ126" i="1"/>
  <c r="AR126" i="1" s="1"/>
  <c r="AO126" i="1"/>
  <c r="AQ118" i="1"/>
  <c r="AR118" i="1" s="1"/>
  <c r="AQ114" i="1"/>
  <c r="AR114" i="1" s="1"/>
  <c r="AO114" i="1"/>
  <c r="AQ112" i="1"/>
  <c r="AR112" i="1" s="1"/>
  <c r="AQ110" i="1"/>
  <c r="AR110" i="1" s="1"/>
  <c r="AQ106" i="1"/>
  <c r="AR106" i="1" s="1"/>
  <c r="AO106" i="1"/>
  <c r="AQ99" i="1"/>
  <c r="AR99" i="1" s="1"/>
  <c r="AO99" i="1"/>
  <c r="AQ91" i="1"/>
  <c r="AR91" i="1" s="1"/>
  <c r="AQ81" i="1"/>
  <c r="AR81" i="1" s="1"/>
  <c r="AQ77" i="1"/>
  <c r="AR77" i="1" s="1"/>
  <c r="AQ75" i="1"/>
  <c r="AR75" i="1" s="1"/>
  <c r="AQ65" i="1"/>
  <c r="AR65" i="1" s="1"/>
  <c r="AQ63" i="1"/>
  <c r="AR63" i="1" s="1"/>
  <c r="AQ60" i="1"/>
  <c r="AR60" i="1" s="1"/>
  <c r="AQ56" i="1"/>
  <c r="AR56" i="1" s="1"/>
  <c r="AQ46" i="1"/>
  <c r="AR46" i="1" s="1"/>
  <c r="AQ44" i="1"/>
  <c r="AR44" i="1" s="1"/>
  <c r="AQ42" i="1"/>
  <c r="AR42" i="1" s="1"/>
  <c r="AQ38" i="1"/>
  <c r="AR38" i="1" s="1"/>
  <c r="AQ36" i="1"/>
  <c r="AR36" i="1" s="1"/>
  <c r="AQ34" i="1"/>
  <c r="AR34" i="1" s="1"/>
  <c r="AQ32" i="1"/>
  <c r="AR32" i="1" s="1"/>
  <c r="AQ30" i="1"/>
  <c r="AR30" i="1" s="1"/>
  <c r="AQ28" i="1"/>
  <c r="AR28" i="1" s="1"/>
  <c r="AQ26" i="1"/>
  <c r="AR26" i="1" s="1"/>
  <c r="AO26" i="1"/>
  <c r="AQ16" i="1"/>
  <c r="AR16" i="1" s="1"/>
  <c r="AQ4" i="1"/>
  <c r="AR4" i="1" s="1"/>
  <c r="AO61" i="1"/>
  <c r="AQ362" i="1"/>
  <c r="AR362" i="1" s="1"/>
  <c r="AQ522" i="1"/>
  <c r="AR522" i="1" s="1"/>
  <c r="AQ518" i="1"/>
  <c r="AR518" i="1" s="1"/>
  <c r="AG329" i="1"/>
  <c r="AO329" i="1" s="1"/>
  <c r="AG311" i="1"/>
  <c r="AO311" i="1" s="1"/>
  <c r="AG282" i="1"/>
  <c r="AO282" i="1" s="1"/>
  <c r="AG276" i="1"/>
  <c r="AO276" i="1" s="1"/>
  <c r="AG484" i="1"/>
  <c r="X484" i="1"/>
  <c r="AG480" i="1"/>
  <c r="AO480" i="1" s="1"/>
  <c r="X480" i="1"/>
  <c r="AG456" i="1"/>
  <c r="AO456" i="1" s="1"/>
  <c r="X456" i="1"/>
  <c r="AG444" i="1"/>
  <c r="AO444" i="1" s="1"/>
  <c r="X444" i="1"/>
  <c r="Y444" i="1" s="1"/>
  <c r="AG403" i="1"/>
  <c r="AP403" i="1" s="1"/>
  <c r="X403" i="1"/>
  <c r="AG399" i="1"/>
  <c r="AO399" i="1" s="1"/>
  <c r="X399" i="1"/>
  <c r="Y399" i="1" s="1"/>
  <c r="AG397" i="1"/>
  <c r="X397" i="1"/>
  <c r="AG391" i="1"/>
  <c r="AO391" i="1" s="1"/>
  <c r="X391" i="1"/>
  <c r="Y391" i="1" s="1"/>
  <c r="AG375" i="1"/>
  <c r="AO375" i="1" s="1"/>
  <c r="X375" i="1"/>
  <c r="Y375" i="1" s="1"/>
  <c r="AG355" i="1"/>
  <c r="AO355" i="1" s="1"/>
  <c r="X355" i="1"/>
  <c r="Y355" i="1" s="1"/>
  <c r="AG347" i="1"/>
  <c r="AO347" i="1" s="1"/>
  <c r="X347" i="1"/>
  <c r="AG343" i="1"/>
  <c r="AO343" i="1" s="1"/>
  <c r="X343" i="1"/>
  <c r="AG334" i="1"/>
  <c r="AO334" i="1" s="1"/>
  <c r="X334" i="1"/>
  <c r="Y334" i="1" s="1"/>
  <c r="AG302" i="1"/>
  <c r="AO302" i="1" s="1"/>
  <c r="X302" i="1"/>
  <c r="Y302" i="1" s="1"/>
  <c r="AG222" i="1"/>
  <c r="X222" i="1"/>
  <c r="AG214" i="1"/>
  <c r="AO214" i="1" s="1"/>
  <c r="X214" i="1"/>
  <c r="Y214" i="1" s="1"/>
  <c r="AG190" i="1"/>
  <c r="AO190" i="1" s="1"/>
  <c r="X190" i="1"/>
  <c r="AG166" i="1"/>
  <c r="AO166" i="1" s="1"/>
  <c r="X166" i="1"/>
  <c r="AG140" i="1"/>
  <c r="AO140" i="1" s="1"/>
  <c r="X140" i="1"/>
  <c r="Y140" i="1" s="1"/>
  <c r="AG66" i="1"/>
  <c r="AO66" i="1" s="1"/>
  <c r="X66" i="1"/>
  <c r="AG30" i="1"/>
  <c r="AO30" i="1" s="1"/>
  <c r="X30" i="1"/>
  <c r="Y30" i="1" s="1"/>
  <c r="AG12" i="1"/>
  <c r="X12" i="1"/>
  <c r="X745" i="1"/>
  <c r="Z745" i="1" s="1"/>
  <c r="X743" i="1"/>
  <c r="Z743" i="1" s="1"/>
  <c r="X741" i="1"/>
  <c r="Z741" i="1" s="1"/>
  <c r="X733" i="1"/>
  <c r="Z733" i="1" s="1"/>
  <c r="X729" i="1"/>
  <c r="Z729" i="1" s="1"/>
  <c r="X727" i="1"/>
  <c r="Z727" i="1" s="1"/>
  <c r="X725" i="1"/>
  <c r="Z725" i="1" s="1"/>
  <c r="X721" i="1"/>
  <c r="Z721" i="1" s="1"/>
  <c r="X717" i="1"/>
  <c r="Z717" i="1" s="1"/>
  <c r="X713" i="1"/>
  <c r="Z713" i="1" s="1"/>
  <c r="X711" i="1"/>
  <c r="Z711" i="1" s="1"/>
  <c r="X709" i="1"/>
  <c r="Z709" i="1" s="1"/>
  <c r="X705" i="1"/>
  <c r="Z705" i="1" s="1"/>
  <c r="X701" i="1"/>
  <c r="Z701" i="1" s="1"/>
  <c r="X697" i="1"/>
  <c r="Z697" i="1" s="1"/>
  <c r="X695" i="1"/>
  <c r="Z695" i="1" s="1"/>
  <c r="X693" i="1"/>
  <c r="Z693" i="1" s="1"/>
  <c r="X689" i="1"/>
  <c r="Z689" i="1" s="1"/>
  <c r="X685" i="1"/>
  <c r="Z685" i="1" s="1"/>
  <c r="X681" i="1"/>
  <c r="Z681" i="1" s="1"/>
  <c r="X679" i="1"/>
  <c r="Z679" i="1" s="1"/>
  <c r="X677" i="1"/>
  <c r="Z677" i="1" s="1"/>
  <c r="X663" i="1"/>
  <c r="Z663" i="1" s="1"/>
  <c r="X657" i="1"/>
  <c r="Z657" i="1" s="1"/>
  <c r="X653" i="1"/>
  <c r="Z653" i="1" s="1"/>
  <c r="X647" i="1"/>
  <c r="Z647" i="1" s="1"/>
  <c r="X641" i="1"/>
  <c r="Z641" i="1" s="1"/>
  <c r="X639" i="1"/>
  <c r="Z639" i="1" s="1"/>
  <c r="X637" i="1"/>
  <c r="Z637" i="1" s="1"/>
  <c r="X631" i="1"/>
  <c r="Z631" i="1" s="1"/>
  <c r="X625" i="1"/>
  <c r="Z625" i="1" s="1"/>
  <c r="X623" i="1"/>
  <c r="Z623" i="1" s="1"/>
  <c r="X617" i="1"/>
  <c r="Z617" i="1" s="1"/>
  <c r="X615" i="1"/>
  <c r="Z615" i="1" s="1"/>
  <c r="X613" i="1"/>
  <c r="Z613" i="1" s="1"/>
  <c r="X609" i="1"/>
  <c r="Z609" i="1" s="1"/>
  <c r="X607" i="1"/>
  <c r="Z607" i="1" s="1"/>
  <c r="X599" i="1"/>
  <c r="Z599" i="1" s="1"/>
  <c r="X591" i="1"/>
  <c r="Z591" i="1" s="1"/>
  <c r="X583" i="1"/>
  <c r="Z583" i="1" s="1"/>
  <c r="X581" i="1"/>
  <c r="Z581" i="1" s="1"/>
  <c r="X577" i="1"/>
  <c r="Z577" i="1" s="1"/>
  <c r="X575" i="1"/>
  <c r="Z575" i="1" s="1"/>
  <c r="X573" i="1"/>
  <c r="Z573" i="1" s="1"/>
  <c r="X569" i="1"/>
  <c r="Z569" i="1" s="1"/>
  <c r="X567" i="1"/>
  <c r="Z567" i="1" s="1"/>
  <c r="X559" i="1"/>
  <c r="Z559" i="1" s="1"/>
  <c r="X551" i="1"/>
  <c r="Z551" i="1" s="1"/>
  <c r="X545" i="1"/>
  <c r="Z545" i="1" s="1"/>
  <c r="X543" i="1"/>
  <c r="Z543" i="1" s="1"/>
  <c r="X541" i="1"/>
  <c r="Z541" i="1" s="1"/>
  <c r="X537" i="1"/>
  <c r="Z537" i="1" s="1"/>
  <c r="X535" i="1"/>
  <c r="Z535" i="1" s="1"/>
  <c r="X533" i="1"/>
  <c r="Z533" i="1" s="1"/>
  <c r="X529" i="1"/>
  <c r="X526" i="1"/>
  <c r="X291" i="1"/>
  <c r="Z291" i="1" s="1"/>
  <c r="AG246" i="1"/>
  <c r="AO246" i="1" s="1"/>
  <c r="X246" i="1"/>
  <c r="AG234" i="1"/>
  <c r="AO234" i="1" s="1"/>
  <c r="X234" i="1"/>
  <c r="AG230" i="1"/>
  <c r="AO230" i="1" s="1"/>
  <c r="X230" i="1"/>
  <c r="Y230" i="1" s="1"/>
  <c r="AG213" i="1"/>
  <c r="AO213" i="1" s="1"/>
  <c r="AG196" i="1"/>
  <c r="AO196" i="1" s="1"/>
  <c r="AG194" i="1"/>
  <c r="AO194" i="1" s="1"/>
  <c r="AG178" i="1"/>
  <c r="AO178" i="1" s="1"/>
  <c r="AG160" i="1"/>
  <c r="AO160" i="1" s="1"/>
  <c r="AQ73" i="1"/>
  <c r="AR73" i="1" s="1"/>
  <c r="AG520" i="1"/>
  <c r="AO520" i="1" s="1"/>
  <c r="AG518" i="1"/>
  <c r="AO518" i="1" s="1"/>
  <c r="AG516" i="1"/>
  <c r="AO516" i="1" s="1"/>
  <c r="AG514" i="1"/>
  <c r="AO514" i="1" s="1"/>
  <c r="AG508" i="1"/>
  <c r="AO508" i="1" s="1"/>
  <c r="AG506" i="1"/>
  <c r="AP506" i="1" s="1"/>
  <c r="AG504" i="1"/>
  <c r="AO504" i="1" s="1"/>
  <c r="AG502" i="1"/>
  <c r="AG500" i="1"/>
  <c r="AO500" i="1" s="1"/>
  <c r="AG498" i="1"/>
  <c r="AO498" i="1" s="1"/>
  <c r="AG494" i="1"/>
  <c r="AO494" i="1" s="1"/>
  <c r="AG492" i="1"/>
  <c r="AP492" i="1" s="1"/>
  <c r="AG476" i="1"/>
  <c r="AP476" i="1" s="1"/>
  <c r="AG464" i="1"/>
  <c r="AO464" i="1" s="1"/>
  <c r="AG488" i="1"/>
  <c r="AO488" i="1" s="1"/>
  <c r="AG478" i="1"/>
  <c r="AG474" i="1"/>
  <c r="AO474" i="1" s="1"/>
  <c r="AG470" i="1"/>
  <c r="AO470" i="1" s="1"/>
  <c r="AG460" i="1"/>
  <c r="AO460" i="1" s="1"/>
  <c r="AG324" i="1"/>
  <c r="AG308" i="1"/>
  <c r="AO308" i="1" s="1"/>
  <c r="AG292" i="1"/>
  <c r="AO292" i="1" s="1"/>
  <c r="AG290" i="1"/>
  <c r="AO290" i="1" s="1"/>
  <c r="AG258" i="1"/>
  <c r="AG252" i="1"/>
  <c r="AO252" i="1" s="1"/>
  <c r="AG224" i="1"/>
  <c r="AG208" i="1"/>
  <c r="AG172" i="1"/>
  <c r="AG162" i="1"/>
  <c r="AG158" i="1"/>
  <c r="AO158" i="1" s="1"/>
  <c r="AG152" i="1"/>
  <c r="AO152" i="1" s="1"/>
  <c r="AG59" i="1"/>
  <c r="AQ367" i="1"/>
  <c r="AR367" i="1" s="1"/>
  <c r="AG410" i="1"/>
  <c r="AP410" i="1" s="1"/>
  <c r="AG406" i="1"/>
  <c r="AO406" i="1" s="1"/>
  <c r="AG400" i="1"/>
  <c r="AP400" i="1" s="1"/>
  <c r="AG396" i="1"/>
  <c r="AO396" i="1" s="1"/>
  <c r="AG365" i="1"/>
  <c r="AG362" i="1"/>
  <c r="AP362" i="1" s="1"/>
  <c r="AG360" i="1"/>
  <c r="AP360" i="1" s="1"/>
  <c r="AG348" i="1"/>
  <c r="AG342" i="1"/>
  <c r="AO342" i="1" s="1"/>
  <c r="AG337" i="1"/>
  <c r="AP337" i="1" s="1"/>
  <c r="AG333" i="1"/>
  <c r="AP333" i="1" s="1"/>
  <c r="AG331" i="1"/>
  <c r="AO331" i="1" s="1"/>
  <c r="AG319" i="1"/>
  <c r="AG315" i="1"/>
  <c r="AP315" i="1" s="1"/>
  <c r="AG306" i="1"/>
  <c r="AO306" i="1" s="1"/>
  <c r="AG304" i="1"/>
  <c r="AO304" i="1" s="1"/>
  <c r="AG280" i="1"/>
  <c r="AO280" i="1" s="1"/>
  <c r="AG272" i="1"/>
  <c r="AO272" i="1" s="1"/>
  <c r="AG268" i="1"/>
  <c r="AO268" i="1" s="1"/>
  <c r="AG244" i="1"/>
  <c r="AP244" i="1" s="1"/>
  <c r="AG238" i="1"/>
  <c r="AO238" i="1" s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O134" i="1" s="1"/>
  <c r="AG126" i="1"/>
  <c r="AG120" i="1"/>
  <c r="AO120" i="1" s="1"/>
  <c r="AQ111" i="1"/>
  <c r="AR111" i="1" s="1"/>
  <c r="AQ93" i="1"/>
  <c r="AR93" i="1" s="1"/>
  <c r="AG91" i="1"/>
  <c r="AO91" i="1" s="1"/>
  <c r="AQ59" i="1"/>
  <c r="AR59" i="1" s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33" i="1"/>
  <c r="AW633" i="1"/>
  <c r="AU631" i="1"/>
  <c r="AW631" i="1"/>
  <c r="AU629" i="1"/>
  <c r="AW629" i="1"/>
  <c r="AU627" i="1"/>
  <c r="AW627" i="1"/>
  <c r="AU625" i="1"/>
  <c r="AW625" i="1"/>
  <c r="AU623" i="1"/>
  <c r="AW623" i="1"/>
  <c r="AU621" i="1"/>
  <c r="AW621" i="1"/>
  <c r="AU619" i="1"/>
  <c r="AW619" i="1"/>
  <c r="AU617" i="1"/>
  <c r="AW617" i="1"/>
  <c r="AU615" i="1"/>
  <c r="AW615" i="1"/>
  <c r="AU613" i="1"/>
  <c r="AW613" i="1"/>
  <c r="AU611" i="1"/>
  <c r="AW611" i="1"/>
  <c r="AU609" i="1"/>
  <c r="AW609" i="1"/>
  <c r="AU607" i="1"/>
  <c r="AW607" i="1"/>
  <c r="AU605" i="1"/>
  <c r="AW605" i="1"/>
  <c r="AU603" i="1"/>
  <c r="AW603" i="1"/>
  <c r="AU601" i="1"/>
  <c r="AW601" i="1"/>
  <c r="AU599" i="1"/>
  <c r="AW599" i="1"/>
  <c r="AU597" i="1"/>
  <c r="AW597" i="1"/>
  <c r="AU595" i="1"/>
  <c r="AW595" i="1"/>
  <c r="AU593" i="1"/>
  <c r="AW593" i="1"/>
  <c r="AU591" i="1"/>
  <c r="AW591" i="1"/>
  <c r="AU589" i="1"/>
  <c r="AW589" i="1"/>
  <c r="AU587" i="1"/>
  <c r="AW587" i="1"/>
  <c r="AU585" i="1"/>
  <c r="AW585" i="1"/>
  <c r="AU583" i="1"/>
  <c r="AW583" i="1"/>
  <c r="AU581" i="1"/>
  <c r="AW581" i="1"/>
  <c r="AU579" i="1"/>
  <c r="AW579" i="1"/>
  <c r="AU577" i="1"/>
  <c r="AW577" i="1"/>
  <c r="AU575" i="1"/>
  <c r="AW575" i="1"/>
  <c r="AU573" i="1"/>
  <c r="AW573" i="1"/>
  <c r="AU571" i="1"/>
  <c r="AW571" i="1"/>
  <c r="AU569" i="1"/>
  <c r="AW569" i="1"/>
  <c r="AU567" i="1"/>
  <c r="AW567" i="1"/>
  <c r="AU565" i="1"/>
  <c r="AW565" i="1"/>
  <c r="AU563" i="1"/>
  <c r="AW563" i="1"/>
  <c r="AU561" i="1"/>
  <c r="AW561" i="1"/>
  <c r="AU559" i="1"/>
  <c r="AW559" i="1"/>
  <c r="AU557" i="1"/>
  <c r="AW557" i="1"/>
  <c r="AU555" i="1"/>
  <c r="AW555" i="1"/>
  <c r="AU553" i="1"/>
  <c r="AW553" i="1"/>
  <c r="AU551" i="1"/>
  <c r="AW551" i="1"/>
  <c r="AU549" i="1"/>
  <c r="AW549" i="1"/>
  <c r="AU547" i="1"/>
  <c r="AW547" i="1"/>
  <c r="AU545" i="1"/>
  <c r="AW545" i="1"/>
  <c r="AU543" i="1"/>
  <c r="AW543" i="1"/>
  <c r="AU541" i="1"/>
  <c r="AW541" i="1"/>
  <c r="AU539" i="1"/>
  <c r="AW539" i="1"/>
  <c r="AU537" i="1"/>
  <c r="AW537" i="1"/>
  <c r="AU535" i="1"/>
  <c r="AW535" i="1"/>
  <c r="AU533" i="1"/>
  <c r="AW533" i="1"/>
  <c r="AU531" i="1"/>
  <c r="AW531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4" i="1"/>
  <c r="AW634" i="1"/>
  <c r="AU632" i="1"/>
  <c r="AW632" i="1"/>
  <c r="AU630" i="1"/>
  <c r="AW630" i="1"/>
  <c r="AU628" i="1"/>
  <c r="AW628" i="1"/>
  <c r="AU626" i="1"/>
  <c r="AW626" i="1"/>
  <c r="AU624" i="1"/>
  <c r="AW624" i="1"/>
  <c r="AU622" i="1"/>
  <c r="AW622" i="1"/>
  <c r="AU620" i="1"/>
  <c r="AW620" i="1"/>
  <c r="AU618" i="1"/>
  <c r="AW618" i="1"/>
  <c r="AU616" i="1"/>
  <c r="AW616" i="1"/>
  <c r="AU614" i="1"/>
  <c r="AW614" i="1"/>
  <c r="AU612" i="1"/>
  <c r="AW612" i="1"/>
  <c r="AU610" i="1"/>
  <c r="AW610" i="1"/>
  <c r="AU608" i="1"/>
  <c r="AW608" i="1"/>
  <c r="AU606" i="1"/>
  <c r="AW606" i="1"/>
  <c r="AU604" i="1"/>
  <c r="AW604" i="1"/>
  <c r="AU602" i="1"/>
  <c r="AW602" i="1"/>
  <c r="AU600" i="1"/>
  <c r="AW600" i="1"/>
  <c r="AU598" i="1"/>
  <c r="AW598" i="1"/>
  <c r="AU596" i="1"/>
  <c r="AW596" i="1"/>
  <c r="AU594" i="1"/>
  <c r="AW594" i="1"/>
  <c r="AU592" i="1"/>
  <c r="AW592" i="1"/>
  <c r="AU590" i="1"/>
  <c r="AW590" i="1"/>
  <c r="AU588" i="1"/>
  <c r="AW588" i="1"/>
  <c r="AU586" i="1"/>
  <c r="AW586" i="1"/>
  <c r="AU584" i="1"/>
  <c r="AW584" i="1"/>
  <c r="AU582" i="1"/>
  <c r="AW582" i="1"/>
  <c r="AU580" i="1"/>
  <c r="AW580" i="1"/>
  <c r="AU578" i="1"/>
  <c r="AW578" i="1"/>
  <c r="AU576" i="1"/>
  <c r="AW576" i="1"/>
  <c r="AU574" i="1"/>
  <c r="AW574" i="1"/>
  <c r="AU572" i="1"/>
  <c r="AW572" i="1"/>
  <c r="AU570" i="1"/>
  <c r="AW570" i="1"/>
  <c r="AU568" i="1"/>
  <c r="AW568" i="1"/>
  <c r="AU566" i="1"/>
  <c r="AW566" i="1"/>
  <c r="AU564" i="1"/>
  <c r="AW564" i="1"/>
  <c r="AU562" i="1"/>
  <c r="AW562" i="1"/>
  <c r="AU560" i="1"/>
  <c r="AW560" i="1"/>
  <c r="AU558" i="1"/>
  <c r="AW558" i="1"/>
  <c r="AU556" i="1"/>
  <c r="AW556" i="1"/>
  <c r="AU554" i="1"/>
  <c r="AW554" i="1"/>
  <c r="AU552" i="1"/>
  <c r="AW552" i="1"/>
  <c r="AU550" i="1"/>
  <c r="AW550" i="1"/>
  <c r="AU548" i="1"/>
  <c r="AW548" i="1"/>
  <c r="AU546" i="1"/>
  <c r="AW546" i="1"/>
  <c r="AU544" i="1"/>
  <c r="AW544" i="1"/>
  <c r="AU542" i="1"/>
  <c r="AW542" i="1"/>
  <c r="AU540" i="1"/>
  <c r="AW540" i="1"/>
  <c r="AU538" i="1"/>
  <c r="AW538" i="1"/>
  <c r="AU536" i="1"/>
  <c r="AW536" i="1"/>
  <c r="AU534" i="1"/>
  <c r="AW534" i="1"/>
  <c r="AU532" i="1"/>
  <c r="AW532" i="1"/>
  <c r="AU530" i="1"/>
  <c r="AW530" i="1"/>
  <c r="AU528" i="1"/>
  <c r="AW528" i="1"/>
  <c r="AU525" i="1"/>
  <c r="AW525" i="1"/>
  <c r="AG522" i="1"/>
  <c r="AO522" i="1" s="1"/>
  <c r="AG490" i="1"/>
  <c r="AO490" i="1" s="1"/>
  <c r="AG466" i="1"/>
  <c r="AP466" i="1" s="1"/>
  <c r="AG462" i="1"/>
  <c r="AO462" i="1" s="1"/>
  <c r="AG458" i="1"/>
  <c r="AO458" i="1" s="1"/>
  <c r="AG296" i="1"/>
  <c r="AO296" i="1" s="1"/>
  <c r="AG286" i="1"/>
  <c r="AO286" i="1" s="1"/>
  <c r="AG264" i="1"/>
  <c r="AG260" i="1"/>
  <c r="AG248" i="1"/>
  <c r="AP248" i="1" s="1"/>
  <c r="AG240" i="1"/>
  <c r="AG236" i="1"/>
  <c r="AO236" i="1" s="1"/>
  <c r="AG228" i="1"/>
  <c r="AG218" i="1"/>
  <c r="AP218" i="1" s="1"/>
  <c r="AG204" i="1"/>
  <c r="AO204" i="1" s="1"/>
  <c r="AG200" i="1"/>
  <c r="AO200" i="1" s="1"/>
  <c r="AG186" i="1"/>
  <c r="AP186" i="1" s="1"/>
  <c r="AG184" i="1"/>
  <c r="AO184" i="1" s="1"/>
  <c r="AG170" i="1"/>
  <c r="AO170" i="1" s="1"/>
  <c r="AG148" i="1"/>
  <c r="AO148" i="1" s="1"/>
  <c r="AG481" i="1"/>
  <c r="AP481" i="1" s="1"/>
  <c r="AG479" i="1"/>
  <c r="AP479" i="1" s="1"/>
  <c r="AG443" i="1"/>
  <c r="AO443" i="1" s="1"/>
  <c r="AG439" i="1"/>
  <c r="AO439" i="1" s="1"/>
  <c r="AG434" i="1"/>
  <c r="AO434" i="1" s="1"/>
  <c r="AG430" i="1"/>
  <c r="AO430" i="1" s="1"/>
  <c r="AG428" i="1"/>
  <c r="AP428" i="1" s="1"/>
  <c r="AG416" i="1"/>
  <c r="AO416" i="1" s="1"/>
  <c r="AG412" i="1"/>
  <c r="AP412" i="1" s="1"/>
  <c r="AG408" i="1"/>
  <c r="AO408" i="1" s="1"/>
  <c r="AG404" i="1"/>
  <c r="AP404" i="1" s="1"/>
  <c r="AG398" i="1"/>
  <c r="AP398" i="1" s="1"/>
  <c r="AG394" i="1"/>
  <c r="AP394" i="1" s="1"/>
  <c r="AG390" i="1"/>
  <c r="AP390" i="1" s="1"/>
  <c r="AG386" i="1"/>
  <c r="AG382" i="1"/>
  <c r="AG378" i="1"/>
  <c r="AG376" i="1"/>
  <c r="AO376" i="1" s="1"/>
  <c r="AG372" i="1"/>
  <c r="AO372" i="1" s="1"/>
  <c r="AG358" i="1"/>
  <c r="AO358" i="1" s="1"/>
  <c r="AG354" i="1"/>
  <c r="AP354" i="1" s="1"/>
  <c r="AG352" i="1"/>
  <c r="AO352" i="1" s="1"/>
  <c r="AG344" i="1"/>
  <c r="AO344" i="1" s="1"/>
  <c r="AG339" i="1"/>
  <c r="AG325" i="1"/>
  <c r="AO325" i="1" s="1"/>
  <c r="AG323" i="1"/>
  <c r="AP323" i="1" s="1"/>
  <c r="AG321" i="1"/>
  <c r="AO321" i="1" s="1"/>
  <c r="AG317" i="1"/>
  <c r="AP317" i="1" s="1"/>
  <c r="AG313" i="1"/>
  <c r="AG153" i="1"/>
  <c r="AO153" i="1" s="1"/>
  <c r="AG68" i="1"/>
  <c r="AO68" i="1" s="1"/>
  <c r="AG49" i="1"/>
  <c r="AO49" i="1" s="1"/>
  <c r="AG468" i="1"/>
  <c r="AP468" i="1" s="1"/>
  <c r="AG442" i="1"/>
  <c r="AG440" i="1"/>
  <c r="AO440" i="1" s="1"/>
  <c r="AG438" i="1"/>
  <c r="AG435" i="1"/>
  <c r="AG433" i="1"/>
  <c r="AG431" i="1"/>
  <c r="AO431" i="1" s="1"/>
  <c r="AG427" i="1"/>
  <c r="AO427" i="1" s="1"/>
  <c r="AG417" i="1"/>
  <c r="AO417" i="1" s="1"/>
  <c r="AG415" i="1"/>
  <c r="AO415" i="1" s="1"/>
  <c r="AG413" i="1"/>
  <c r="AP413" i="1" s="1"/>
  <c r="AG411" i="1"/>
  <c r="AO411" i="1" s="1"/>
  <c r="AG409" i="1"/>
  <c r="AP409" i="1" s="1"/>
  <c r="AG407" i="1"/>
  <c r="AO407" i="1" s="1"/>
  <c r="AG405" i="1"/>
  <c r="AG395" i="1"/>
  <c r="AO395" i="1" s="1"/>
  <c r="AG393" i="1"/>
  <c r="AO393" i="1" s="1"/>
  <c r="AG389" i="1"/>
  <c r="AO389" i="1" s="1"/>
  <c r="AG387" i="1"/>
  <c r="AP387" i="1" s="1"/>
  <c r="AG385" i="1"/>
  <c r="AP385" i="1" s="1"/>
  <c r="AG383" i="1"/>
  <c r="AO383" i="1" s="1"/>
  <c r="AG381" i="1"/>
  <c r="AP381" i="1" s="1"/>
  <c r="AG379" i="1"/>
  <c r="AO379" i="1" s="1"/>
  <c r="AG373" i="1"/>
  <c r="AG371" i="1"/>
  <c r="AO371" i="1" s="1"/>
  <c r="AG359" i="1"/>
  <c r="AO359" i="1" s="1"/>
  <c r="AG357" i="1"/>
  <c r="AP357" i="1" s="1"/>
  <c r="AG351" i="1"/>
  <c r="AO351" i="1" s="1"/>
  <c r="AG349" i="1"/>
  <c r="AO349" i="1" s="1"/>
  <c r="AG345" i="1"/>
  <c r="AO345" i="1" s="1"/>
  <c r="AG341" i="1"/>
  <c r="AO341" i="1" s="1"/>
  <c r="AG338" i="1"/>
  <c r="AP338" i="1" s="1"/>
  <c r="AG336" i="1"/>
  <c r="AO336" i="1" s="1"/>
  <c r="AG330" i="1"/>
  <c r="AO330" i="1" s="1"/>
  <c r="AG328" i="1"/>
  <c r="AP328" i="1" s="1"/>
  <c r="AG326" i="1"/>
  <c r="AO326" i="1" s="1"/>
  <c r="AG320" i="1"/>
  <c r="AO320" i="1" s="1"/>
  <c r="AG318" i="1"/>
  <c r="AO318" i="1" s="1"/>
  <c r="AG316" i="1"/>
  <c r="AO316" i="1" s="1"/>
  <c r="AG314" i="1"/>
  <c r="AO314" i="1" s="1"/>
  <c r="AG312" i="1"/>
  <c r="AP312" i="1" s="1"/>
  <c r="AG298" i="1"/>
  <c r="AO298" i="1" s="1"/>
  <c r="AG294" i="1"/>
  <c r="AP294" i="1" s="1"/>
  <c r="AG288" i="1"/>
  <c r="AO288" i="1" s="1"/>
  <c r="AG284" i="1"/>
  <c r="AP284" i="1" s="1"/>
  <c r="AG274" i="1"/>
  <c r="AO274" i="1" s="1"/>
  <c r="AG270" i="1"/>
  <c r="AO270" i="1" s="1"/>
  <c r="AG266" i="1"/>
  <c r="AO266" i="1" s="1"/>
  <c r="AG254" i="1"/>
  <c r="AP254" i="1" s="1"/>
  <c r="AG250" i="1"/>
  <c r="AO250" i="1" s="1"/>
  <c r="AG242" i="1"/>
  <c r="AP242" i="1" s="1"/>
  <c r="AG226" i="1"/>
  <c r="AG220" i="1"/>
  <c r="AP220" i="1" s="1"/>
  <c r="AG216" i="1"/>
  <c r="AP216" i="1" s="1"/>
  <c r="AG212" i="1"/>
  <c r="AO212" i="1" s="1"/>
  <c r="AG210" i="1"/>
  <c r="AP210" i="1" s="1"/>
  <c r="AG198" i="1"/>
  <c r="AP198" i="1" s="1"/>
  <c r="AG188" i="1"/>
  <c r="AO188" i="1" s="1"/>
  <c r="AG182" i="1"/>
  <c r="AP182" i="1" s="1"/>
  <c r="AG174" i="1"/>
  <c r="AO174" i="1" s="1"/>
  <c r="AG168" i="1"/>
  <c r="AO168" i="1" s="1"/>
  <c r="AG23" i="1"/>
  <c r="AO23" i="1" s="1"/>
  <c r="AG487" i="1"/>
  <c r="AP487" i="1" s="1"/>
  <c r="AG485" i="1"/>
  <c r="AO485" i="1" s="1"/>
  <c r="AG110" i="1"/>
  <c r="AP110" i="1" s="1"/>
  <c r="AG108" i="1"/>
  <c r="AP108" i="1" s="1"/>
  <c r="AG76" i="1"/>
  <c r="AP76" i="1" s="1"/>
  <c r="AG36" i="1"/>
  <c r="AO36" i="1" s="1"/>
  <c r="AB575" i="1"/>
  <c r="AG309" i="1"/>
  <c r="AO309" i="1" s="1"/>
  <c r="AG307" i="1"/>
  <c r="AO307" i="1" s="1"/>
  <c r="AG305" i="1"/>
  <c r="AP305" i="1" s="1"/>
  <c r="AG303" i="1"/>
  <c r="AG301" i="1"/>
  <c r="AO301" i="1" s="1"/>
  <c r="AG299" i="1"/>
  <c r="AO299" i="1" s="1"/>
  <c r="AG297" i="1"/>
  <c r="AO297" i="1" s="1"/>
  <c r="AG295" i="1"/>
  <c r="AO295" i="1" s="1"/>
  <c r="AG293" i="1"/>
  <c r="AO293" i="1" s="1"/>
  <c r="AG289" i="1"/>
  <c r="AO289" i="1" s="1"/>
  <c r="AG287" i="1"/>
  <c r="AO287" i="1" s="1"/>
  <c r="AG285" i="1"/>
  <c r="AO285" i="1" s="1"/>
  <c r="AG283" i="1"/>
  <c r="AO283" i="1" s="1"/>
  <c r="AG279" i="1"/>
  <c r="Y277" i="1"/>
  <c r="Z277" i="1" s="1"/>
  <c r="AG277" i="1"/>
  <c r="AO277" i="1" s="1"/>
  <c r="Y275" i="1"/>
  <c r="Z275" i="1" s="1"/>
  <c r="AG275" i="1"/>
  <c r="AO275" i="1" s="1"/>
  <c r="AG273" i="1"/>
  <c r="AO273" i="1" s="1"/>
  <c r="AG271" i="1"/>
  <c r="AG269" i="1"/>
  <c r="AO269" i="1" s="1"/>
  <c r="AG267" i="1"/>
  <c r="AO267" i="1" s="1"/>
  <c r="AG265" i="1"/>
  <c r="AO265" i="1" s="1"/>
  <c r="Y263" i="1"/>
  <c r="AG263" i="1"/>
  <c r="AO263" i="1" s="1"/>
  <c r="AG261" i="1"/>
  <c r="AO261" i="1" s="1"/>
  <c r="AG259" i="1"/>
  <c r="AO259" i="1" s="1"/>
  <c r="AG257" i="1"/>
  <c r="AO257" i="1" s="1"/>
  <c r="AG255" i="1"/>
  <c r="AP255" i="1" s="1"/>
  <c r="Y253" i="1"/>
  <c r="Z253" i="1" s="1"/>
  <c r="AG253" i="1"/>
  <c r="AP253" i="1" s="1"/>
  <c r="AG251" i="1"/>
  <c r="Y249" i="1"/>
  <c r="Z249" i="1" s="1"/>
  <c r="AG249" i="1"/>
  <c r="AG247" i="1"/>
  <c r="AO247" i="1" s="1"/>
  <c r="AG245" i="1"/>
  <c r="AG243" i="1"/>
  <c r="AP243" i="1" s="1"/>
  <c r="AG241" i="1"/>
  <c r="AO241" i="1" s="1"/>
  <c r="AG239" i="1"/>
  <c r="AP239" i="1" s="1"/>
  <c r="AG237" i="1"/>
  <c r="AP237" i="1" s="1"/>
  <c r="AG235" i="1"/>
  <c r="Y233" i="1"/>
  <c r="Z233" i="1" s="1"/>
  <c r="AG233" i="1"/>
  <c r="AG231" i="1"/>
  <c r="AO231" i="1" s="1"/>
  <c r="AG229" i="1"/>
  <c r="AP229" i="1" s="1"/>
  <c r="AG227" i="1"/>
  <c r="AP227" i="1" s="1"/>
  <c r="AG225" i="1"/>
  <c r="AO225" i="1" s="1"/>
  <c r="AG221" i="1"/>
  <c r="AP221" i="1" s="1"/>
  <c r="AG219" i="1"/>
  <c r="AG217" i="1"/>
  <c r="AP217" i="1" s="1"/>
  <c r="AG209" i="1"/>
  <c r="AO209" i="1" s="1"/>
  <c r="AG207" i="1"/>
  <c r="AO207" i="1" s="1"/>
  <c r="AG205" i="1"/>
  <c r="AO205" i="1" s="1"/>
  <c r="Y203" i="1"/>
  <c r="Z203" i="1" s="1"/>
  <c r="AG203" i="1"/>
  <c r="Y201" i="1"/>
  <c r="Z201" i="1" s="1"/>
  <c r="AG201" i="1"/>
  <c r="AO201" i="1" s="1"/>
  <c r="AG199" i="1"/>
  <c r="AO199" i="1" s="1"/>
  <c r="Y197" i="1"/>
  <c r="Z197" i="1" s="1"/>
  <c r="AG197" i="1"/>
  <c r="AO197" i="1" s="1"/>
  <c r="Y193" i="1"/>
  <c r="Z193" i="1" s="1"/>
  <c r="AG193" i="1"/>
  <c r="AO193" i="1" s="1"/>
  <c r="AG191" i="1"/>
  <c r="AO191" i="1" s="1"/>
  <c r="AG189" i="1"/>
  <c r="Y187" i="1"/>
  <c r="Z187" i="1" s="1"/>
  <c r="AG187" i="1"/>
  <c r="AO187" i="1" s="1"/>
  <c r="AG183" i="1"/>
  <c r="AO183" i="1" s="1"/>
  <c r="Y181" i="1"/>
  <c r="Z181" i="1" s="1"/>
  <c r="AG181" i="1"/>
  <c r="AO181" i="1" s="1"/>
  <c r="Y179" i="1"/>
  <c r="Z179" i="1" s="1"/>
  <c r="AG179" i="1"/>
  <c r="AO179" i="1" s="1"/>
  <c r="AG177" i="1"/>
  <c r="Y175" i="1"/>
  <c r="Z175" i="1" s="1"/>
  <c r="AG175" i="1"/>
  <c r="AO175" i="1" s="1"/>
  <c r="AG171" i="1"/>
  <c r="AO171" i="1" s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O165" i="1" s="1"/>
  <c r="AG163" i="1"/>
  <c r="AO163" i="1" s="1"/>
  <c r="AG161" i="1"/>
  <c r="AO161" i="1" s="1"/>
  <c r="AG159" i="1"/>
  <c r="AG157" i="1"/>
  <c r="AP157" i="1" s="1"/>
  <c r="AG155" i="1"/>
  <c r="AP155" i="1" s="1"/>
  <c r="AG122" i="1"/>
  <c r="AG112" i="1"/>
  <c r="AO112" i="1" s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G70" i="1"/>
  <c r="AO70" i="1" s="1"/>
  <c r="AG62" i="1"/>
  <c r="Y55" i="1"/>
  <c r="Z55" i="1" s="1"/>
  <c r="AG55" i="1"/>
  <c r="AO55" i="1" s="1"/>
  <c r="Y51" i="1"/>
  <c r="AG51" i="1"/>
  <c r="AO51" i="1" s="1"/>
  <c r="AG47" i="1"/>
  <c r="AO47" i="1" s="1"/>
  <c r="AG39" i="1"/>
  <c r="AO39" i="1" s="1"/>
  <c r="AG34" i="1"/>
  <c r="AO34" i="1" s="1"/>
  <c r="AG28" i="1"/>
  <c r="AO28" i="1" s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O467" i="1" s="1"/>
  <c r="AG465" i="1"/>
  <c r="AP465" i="1" s="1"/>
  <c r="AG463" i="1"/>
  <c r="AP463" i="1" s="1"/>
  <c r="AG461" i="1"/>
  <c r="AG459" i="1"/>
  <c r="AG457" i="1"/>
  <c r="AO457" i="1" s="1"/>
  <c r="AG455" i="1"/>
  <c r="AO455" i="1" s="1"/>
  <c r="AG451" i="1"/>
  <c r="AP451" i="1" s="1"/>
  <c r="AG447" i="1"/>
  <c r="AP447" i="1" s="1"/>
  <c r="AG104" i="1"/>
  <c r="AP104" i="1" s="1"/>
  <c r="AG80" i="1"/>
  <c r="AP80" i="1" s="1"/>
  <c r="AG72" i="1"/>
  <c r="AG64" i="1"/>
  <c r="AG53" i="1"/>
  <c r="AO53" i="1" s="1"/>
  <c r="AG41" i="1"/>
  <c r="AO41" i="1" s="1"/>
  <c r="AQ461" i="1"/>
  <c r="AR461" i="1" s="1"/>
  <c r="AQ450" i="1"/>
  <c r="AR450" i="1" s="1"/>
  <c r="AG142" i="1"/>
  <c r="AO142" i="1" s="1"/>
  <c r="AG138" i="1"/>
  <c r="AO138" i="1" s="1"/>
  <c r="AG75" i="1"/>
  <c r="AO75" i="1" s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1" i="1"/>
  <c r="AS621" i="1"/>
  <c r="AP619" i="1"/>
  <c r="AS619" i="1"/>
  <c r="AP617" i="1"/>
  <c r="AS617" i="1"/>
  <c r="AP615" i="1"/>
  <c r="AS615" i="1"/>
  <c r="AP613" i="1"/>
  <c r="AS613" i="1"/>
  <c r="AP611" i="1"/>
  <c r="AS611" i="1"/>
  <c r="AP609" i="1"/>
  <c r="AS609" i="1"/>
  <c r="AP607" i="1"/>
  <c r="AS607" i="1"/>
  <c r="AP605" i="1"/>
  <c r="AS605" i="1"/>
  <c r="AP603" i="1"/>
  <c r="AS603" i="1"/>
  <c r="AP601" i="1"/>
  <c r="AS601" i="1"/>
  <c r="AP599" i="1"/>
  <c r="AS599" i="1"/>
  <c r="AP597" i="1"/>
  <c r="AS597" i="1"/>
  <c r="AP595" i="1"/>
  <c r="AS595" i="1"/>
  <c r="AP593" i="1"/>
  <c r="AS593" i="1"/>
  <c r="AP591" i="1"/>
  <c r="AS591" i="1"/>
  <c r="AP589" i="1"/>
  <c r="AS589" i="1"/>
  <c r="AP587" i="1"/>
  <c r="AS587" i="1"/>
  <c r="AP585" i="1"/>
  <c r="AS585" i="1"/>
  <c r="AP583" i="1"/>
  <c r="AS583" i="1"/>
  <c r="AP581" i="1"/>
  <c r="AS581" i="1"/>
  <c r="AP579" i="1"/>
  <c r="AS579" i="1"/>
  <c r="AP577" i="1"/>
  <c r="AS577" i="1"/>
  <c r="AP575" i="1"/>
  <c r="AS575" i="1"/>
  <c r="AP573" i="1"/>
  <c r="AS573" i="1"/>
  <c r="AP571" i="1"/>
  <c r="AS571" i="1"/>
  <c r="AP569" i="1"/>
  <c r="AS569" i="1"/>
  <c r="AP567" i="1"/>
  <c r="AS567" i="1"/>
  <c r="AP565" i="1"/>
  <c r="AS565" i="1"/>
  <c r="AP563" i="1"/>
  <c r="AS563" i="1"/>
  <c r="AP561" i="1"/>
  <c r="AS561" i="1"/>
  <c r="AP559" i="1"/>
  <c r="AS559" i="1"/>
  <c r="AP557" i="1"/>
  <c r="AS557" i="1"/>
  <c r="AP555" i="1"/>
  <c r="AS555" i="1"/>
  <c r="AP553" i="1"/>
  <c r="AS553" i="1"/>
  <c r="AP551" i="1"/>
  <c r="AS551" i="1"/>
  <c r="AP549" i="1"/>
  <c r="AS549" i="1"/>
  <c r="AP547" i="1"/>
  <c r="AS547" i="1"/>
  <c r="AP545" i="1"/>
  <c r="AS545" i="1"/>
  <c r="AP543" i="1"/>
  <c r="AS543" i="1"/>
  <c r="AP541" i="1"/>
  <c r="AS541" i="1"/>
  <c r="AP539" i="1"/>
  <c r="AS539" i="1"/>
  <c r="AP537" i="1"/>
  <c r="AS537" i="1"/>
  <c r="AP535" i="1"/>
  <c r="AS535" i="1"/>
  <c r="AP533" i="1"/>
  <c r="AS533" i="1"/>
  <c r="AP531" i="1"/>
  <c r="AS531" i="1"/>
  <c r="AP529" i="1"/>
  <c r="AS529" i="1"/>
  <c r="AP526" i="1"/>
  <c r="AS526" i="1"/>
  <c r="AP524" i="1"/>
  <c r="AS524" i="1"/>
  <c r="AP519" i="1"/>
  <c r="AP509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22" i="1"/>
  <c r="AS622" i="1"/>
  <c r="AP620" i="1"/>
  <c r="AS620" i="1"/>
  <c r="AP618" i="1"/>
  <c r="AS618" i="1"/>
  <c r="AP616" i="1"/>
  <c r="AS616" i="1"/>
  <c r="AP614" i="1"/>
  <c r="AS614" i="1"/>
  <c r="AP612" i="1"/>
  <c r="AS612" i="1"/>
  <c r="AP610" i="1"/>
  <c r="AS610" i="1"/>
  <c r="AP608" i="1"/>
  <c r="AS608" i="1"/>
  <c r="AP606" i="1"/>
  <c r="AS606" i="1"/>
  <c r="AP604" i="1"/>
  <c r="AS604" i="1"/>
  <c r="AP602" i="1"/>
  <c r="AS602" i="1"/>
  <c r="AP600" i="1"/>
  <c r="AS600" i="1"/>
  <c r="AP598" i="1"/>
  <c r="AS598" i="1"/>
  <c r="AP596" i="1"/>
  <c r="AS596" i="1"/>
  <c r="AP594" i="1"/>
  <c r="AS594" i="1"/>
  <c r="AP592" i="1"/>
  <c r="AS592" i="1"/>
  <c r="AP590" i="1"/>
  <c r="AS590" i="1"/>
  <c r="AP588" i="1"/>
  <c r="AS588" i="1"/>
  <c r="AP586" i="1"/>
  <c r="AS586" i="1"/>
  <c r="AP584" i="1"/>
  <c r="AS584" i="1"/>
  <c r="AP582" i="1"/>
  <c r="AS582" i="1"/>
  <c r="AP580" i="1"/>
  <c r="AS580" i="1"/>
  <c r="AP578" i="1"/>
  <c r="AS578" i="1"/>
  <c r="AP576" i="1"/>
  <c r="AS576" i="1"/>
  <c r="AP574" i="1"/>
  <c r="AS574" i="1"/>
  <c r="AP572" i="1"/>
  <c r="AS572" i="1"/>
  <c r="AP570" i="1"/>
  <c r="AS570" i="1"/>
  <c r="AP568" i="1"/>
  <c r="AS568" i="1"/>
  <c r="AP566" i="1"/>
  <c r="AS566" i="1"/>
  <c r="AP564" i="1"/>
  <c r="AS564" i="1"/>
  <c r="AP562" i="1"/>
  <c r="AS562" i="1"/>
  <c r="AP560" i="1"/>
  <c r="AS560" i="1"/>
  <c r="AP558" i="1"/>
  <c r="AS558" i="1"/>
  <c r="AP556" i="1"/>
  <c r="AS556" i="1"/>
  <c r="AP554" i="1"/>
  <c r="AS554" i="1"/>
  <c r="AP552" i="1"/>
  <c r="AS552" i="1"/>
  <c r="AP550" i="1"/>
  <c r="AS550" i="1"/>
  <c r="AP548" i="1"/>
  <c r="AS548" i="1"/>
  <c r="AP546" i="1"/>
  <c r="AS546" i="1"/>
  <c r="AP544" i="1"/>
  <c r="AS544" i="1"/>
  <c r="AP542" i="1"/>
  <c r="AS542" i="1"/>
  <c r="AP540" i="1"/>
  <c r="AS540" i="1"/>
  <c r="AP538" i="1"/>
  <c r="AS538" i="1"/>
  <c r="AP536" i="1"/>
  <c r="AS536" i="1"/>
  <c r="AP534" i="1"/>
  <c r="AS534" i="1"/>
  <c r="AP532" i="1"/>
  <c r="AS532" i="1"/>
  <c r="AP530" i="1"/>
  <c r="AS530" i="1"/>
  <c r="AP528" i="1"/>
  <c r="AS528" i="1"/>
  <c r="AP525" i="1"/>
  <c r="AS525" i="1"/>
  <c r="AP522" i="1"/>
  <c r="AP504" i="1"/>
  <c r="AP502" i="1"/>
  <c r="AP500" i="1"/>
  <c r="AP498" i="1"/>
  <c r="AP496" i="1"/>
  <c r="AS496" i="1"/>
  <c r="AP494" i="1"/>
  <c r="AP490" i="1"/>
  <c r="AP488" i="1"/>
  <c r="AP486" i="1"/>
  <c r="AP483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2" i="1"/>
  <c r="AP392" i="1"/>
  <c r="AP388" i="1"/>
  <c r="AP386" i="1"/>
  <c r="AP384" i="1"/>
  <c r="AP382" i="1"/>
  <c r="AP380" i="1"/>
  <c r="AP378" i="1"/>
  <c r="AP376" i="1"/>
  <c r="AP374" i="1"/>
  <c r="AP370" i="1"/>
  <c r="AP368" i="1"/>
  <c r="AP366" i="1"/>
  <c r="AP364" i="1"/>
  <c r="AP350" i="1"/>
  <c r="AP348" i="1"/>
  <c r="AP325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5" i="1"/>
  <c r="AP411" i="1"/>
  <c r="AP407" i="1"/>
  <c r="AP405" i="1"/>
  <c r="AP401" i="1"/>
  <c r="AP399" i="1"/>
  <c r="AP397" i="1"/>
  <c r="AP395" i="1"/>
  <c r="AP391" i="1"/>
  <c r="AP389" i="1"/>
  <c r="AP383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O118" i="1" s="1"/>
  <c r="AG88" i="1"/>
  <c r="AP88" i="1" s="1"/>
  <c r="AG84" i="1"/>
  <c r="AO84" i="1" s="1"/>
  <c r="AG85" i="1"/>
  <c r="AG44" i="1"/>
  <c r="AO44" i="1" s="1"/>
  <c r="AG32" i="1"/>
  <c r="AO32" i="1" s="1"/>
  <c r="AB607" i="1"/>
  <c r="AB727" i="1"/>
  <c r="Y663" i="1"/>
  <c r="AB623" i="1"/>
  <c r="Y591" i="1"/>
  <c r="Y559" i="1"/>
  <c r="AG17" i="1"/>
  <c r="AG5" i="1"/>
  <c r="AP5" i="1" s="1"/>
  <c r="Z739" i="1"/>
  <c r="Z737" i="1"/>
  <c r="Z735" i="1"/>
  <c r="Z731" i="1"/>
  <c r="Z723" i="1"/>
  <c r="Z719" i="1"/>
  <c r="Z715" i="1"/>
  <c r="Z707" i="1"/>
  <c r="Z699" i="1"/>
  <c r="Z691" i="1"/>
  <c r="Z687" i="1"/>
  <c r="Z683" i="1"/>
  <c r="Z675" i="1"/>
  <c r="AC673" i="1"/>
  <c r="Z671" i="1"/>
  <c r="AC669" i="1"/>
  <c r="Z667" i="1"/>
  <c r="AC665" i="1"/>
  <c r="Z661" i="1"/>
  <c r="Y659" i="1"/>
  <c r="Z655" i="1"/>
  <c r="Y651" i="1"/>
  <c r="Z649" i="1"/>
  <c r="Z643" i="1"/>
  <c r="Z635" i="1"/>
  <c r="Z633" i="1"/>
  <c r="Z629" i="1"/>
  <c r="Z627" i="1"/>
  <c r="Z619" i="1"/>
  <c r="Z611" i="1"/>
  <c r="Z605" i="1"/>
  <c r="Z603" i="1"/>
  <c r="Z601" i="1"/>
  <c r="Z597" i="1"/>
  <c r="Z595" i="1"/>
  <c r="Y593" i="1"/>
  <c r="Z589" i="1"/>
  <c r="Z587" i="1"/>
  <c r="Z585" i="1"/>
  <c r="Y579" i="1"/>
  <c r="Z571" i="1"/>
  <c r="Y565" i="1"/>
  <c r="Z563" i="1"/>
  <c r="Z561" i="1"/>
  <c r="Z557" i="1"/>
  <c r="AC555" i="1"/>
  <c r="Z553" i="1"/>
  <c r="Z547" i="1"/>
  <c r="Z539" i="1"/>
  <c r="Z531" i="1"/>
  <c r="Y495" i="1"/>
  <c r="Y484" i="1"/>
  <c r="AG450" i="1"/>
  <c r="AP450" i="1" s="1"/>
  <c r="Y450" i="1"/>
  <c r="Z450" i="1" s="1"/>
  <c r="Y403" i="1"/>
  <c r="Y397" i="1"/>
  <c r="Y343" i="1"/>
  <c r="Y246" i="1"/>
  <c r="Y166" i="1"/>
  <c r="AG21" i="1"/>
  <c r="AO21" i="1" s="1"/>
  <c r="Y21" i="1"/>
  <c r="Z21" i="1" s="1"/>
  <c r="AG19" i="1"/>
  <c r="AO19" i="1" s="1"/>
  <c r="AG15" i="1"/>
  <c r="AP15" i="1" s="1"/>
  <c r="AG13" i="1"/>
  <c r="AO13" i="1" s="1"/>
  <c r="AG11" i="1"/>
  <c r="AP11" i="1" s="1"/>
  <c r="AG9" i="1"/>
  <c r="AO9" i="1" s="1"/>
  <c r="AG7" i="1"/>
  <c r="AP7" i="1" s="1"/>
  <c r="AG3" i="1"/>
  <c r="AP3" i="1" s="1"/>
  <c r="AB711" i="1"/>
  <c r="AB679" i="1"/>
  <c r="Y647" i="1"/>
  <c r="AB615" i="1"/>
  <c r="AB583" i="1"/>
  <c r="Y551" i="1"/>
  <c r="AB535" i="1"/>
  <c r="AC744" i="1"/>
  <c r="Z742" i="1"/>
  <c r="AC740" i="1"/>
  <c r="Z738" i="1"/>
  <c r="AC736" i="1"/>
  <c r="Z734" i="1"/>
  <c r="AC732" i="1"/>
  <c r="Z730" i="1"/>
  <c r="AC728" i="1"/>
  <c r="Z726" i="1"/>
  <c r="AC724" i="1"/>
  <c r="Z722" i="1"/>
  <c r="AC720" i="1"/>
  <c r="Z718" i="1"/>
  <c r="AC716" i="1"/>
  <c r="Z714" i="1"/>
  <c r="AC712" i="1"/>
  <c r="Z710" i="1"/>
  <c r="AC708" i="1"/>
  <c r="Z706" i="1"/>
  <c r="AC704" i="1"/>
  <c r="Z702" i="1"/>
  <c r="AC700" i="1"/>
  <c r="Z698" i="1"/>
  <c r="AC696" i="1"/>
  <c r="Z694" i="1"/>
  <c r="AC692" i="1"/>
  <c r="Z690" i="1"/>
  <c r="AC688" i="1"/>
  <c r="Z686" i="1"/>
  <c r="AC684" i="1"/>
  <c r="Z682" i="1"/>
  <c r="AC680" i="1"/>
  <c r="Z678" i="1"/>
  <c r="AC676" i="1"/>
  <c r="Z674" i="1"/>
  <c r="AC672" i="1"/>
  <c r="Z670" i="1"/>
  <c r="AC668" i="1"/>
  <c r="Z666" i="1"/>
  <c r="AC664" i="1"/>
  <c r="Z662" i="1"/>
  <c r="AC660" i="1"/>
  <c r="Z658" i="1"/>
  <c r="AC656" i="1"/>
  <c r="Z654" i="1"/>
  <c r="AC652" i="1"/>
  <c r="Z650" i="1"/>
  <c r="AC648" i="1"/>
  <c r="Z646" i="1"/>
  <c r="AC644" i="1"/>
  <c r="Z642" i="1"/>
  <c r="AC640" i="1"/>
  <c r="Z638" i="1"/>
  <c r="AC636" i="1"/>
  <c r="Z634" i="1"/>
  <c r="AC632" i="1"/>
  <c r="Z630" i="1"/>
  <c r="AC628" i="1"/>
  <c r="Z626" i="1"/>
  <c r="AC624" i="1"/>
  <c r="Z622" i="1"/>
  <c r="AC620" i="1"/>
  <c r="Z618" i="1"/>
  <c r="AC616" i="1"/>
  <c r="Z614" i="1"/>
  <c r="AC612" i="1"/>
  <c r="Z610" i="1"/>
  <c r="AC608" i="1"/>
  <c r="Z606" i="1"/>
  <c r="AC604" i="1"/>
  <c r="Z602" i="1"/>
  <c r="AC600" i="1"/>
  <c r="Z598" i="1"/>
  <c r="AC596" i="1"/>
  <c r="Z594" i="1"/>
  <c r="AC592" i="1"/>
  <c r="Z590" i="1"/>
  <c r="AC588" i="1"/>
  <c r="Z586" i="1"/>
  <c r="AC584" i="1"/>
  <c r="Z582" i="1"/>
  <c r="AC580" i="1"/>
  <c r="Z578" i="1"/>
  <c r="AC576" i="1"/>
  <c r="Z574" i="1"/>
  <c r="AC572" i="1"/>
  <c r="Z570" i="1"/>
  <c r="AC568" i="1"/>
  <c r="Z566" i="1"/>
  <c r="AC564" i="1"/>
  <c r="Z562" i="1"/>
  <c r="AC560" i="1"/>
  <c r="Z558" i="1"/>
  <c r="AC556" i="1"/>
  <c r="Z554" i="1"/>
  <c r="AC552" i="1"/>
  <c r="Z550" i="1"/>
  <c r="AC548" i="1"/>
  <c r="Z546" i="1"/>
  <c r="AC544" i="1"/>
  <c r="Z542" i="1"/>
  <c r="AC540" i="1"/>
  <c r="Z538" i="1"/>
  <c r="AC536" i="1"/>
  <c r="Z534" i="1"/>
  <c r="AC532" i="1"/>
  <c r="Z530" i="1"/>
  <c r="AC528" i="1"/>
  <c r="Z525" i="1"/>
  <c r="Y114" i="1"/>
  <c r="Y106" i="1"/>
  <c r="Y66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AB61" i="1"/>
  <c r="AC61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O454" i="1" s="1"/>
  <c r="AG452" i="1"/>
  <c r="AP452" i="1" s="1"/>
  <c r="AG448" i="1"/>
  <c r="AO448" i="1" s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O136" i="1" s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G50" i="1"/>
  <c r="AP50" i="1" s="1"/>
  <c r="AG48" i="1"/>
  <c r="AG46" i="1"/>
  <c r="AO46" i="1" s="1"/>
  <c r="AG42" i="1"/>
  <c r="AO42" i="1" s="1"/>
  <c r="AG40" i="1"/>
  <c r="AP40" i="1" s="1"/>
  <c r="AG37" i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Q344" i="1"/>
  <c r="AR344" i="1" s="1"/>
  <c r="AP342" i="1"/>
  <c r="AP335" i="1"/>
  <c r="AP339" i="1"/>
  <c r="AQ335" i="1"/>
  <c r="AR335" i="1" s="1"/>
  <c r="AP336" i="1"/>
  <c r="AP329" i="1"/>
  <c r="AP327" i="1"/>
  <c r="AG151" i="1"/>
  <c r="AG149" i="1"/>
  <c r="AO149" i="1" s="1"/>
  <c r="AG145" i="1"/>
  <c r="AO145" i="1" s="1"/>
  <c r="AG143" i="1"/>
  <c r="AP143" i="1" s="1"/>
  <c r="AG141" i="1"/>
  <c r="AG139" i="1"/>
  <c r="AP139" i="1" s="1"/>
  <c r="AG137" i="1"/>
  <c r="AO137" i="1" s="1"/>
  <c r="AG135" i="1"/>
  <c r="AG133" i="1"/>
  <c r="AO133" i="1" s="1"/>
  <c r="AG130" i="1"/>
  <c r="AP130" i="1" s="1"/>
  <c r="AG128" i="1"/>
  <c r="AO128" i="1" s="1"/>
  <c r="AG24" i="1"/>
  <c r="AP24" i="1" s="1"/>
  <c r="Y745" i="1"/>
  <c r="AB745" i="1"/>
  <c r="Y741" i="1"/>
  <c r="AB741" i="1"/>
  <c r="Y733" i="1"/>
  <c r="AB733" i="1"/>
  <c r="Y729" i="1"/>
  <c r="AB729" i="1"/>
  <c r="Y725" i="1"/>
  <c r="AB725" i="1"/>
  <c r="Y721" i="1"/>
  <c r="AB721" i="1"/>
  <c r="Y717" i="1"/>
  <c r="AB717" i="1"/>
  <c r="Y713" i="1"/>
  <c r="AB713" i="1"/>
  <c r="Y709" i="1"/>
  <c r="AB709" i="1"/>
  <c r="Y705" i="1"/>
  <c r="AB705" i="1"/>
  <c r="Y701" i="1"/>
  <c r="AB701" i="1"/>
  <c r="Y697" i="1"/>
  <c r="AB697" i="1"/>
  <c r="Y693" i="1"/>
  <c r="AB693" i="1"/>
  <c r="Y689" i="1"/>
  <c r="AB689" i="1"/>
  <c r="Y685" i="1"/>
  <c r="AB685" i="1"/>
  <c r="Y681" i="1"/>
  <c r="AB681" i="1"/>
  <c r="Y677" i="1"/>
  <c r="AB677" i="1"/>
  <c r="Y657" i="1"/>
  <c r="AB657" i="1"/>
  <c r="Y653" i="1"/>
  <c r="AB653" i="1"/>
  <c r="Y641" i="1"/>
  <c r="AB641" i="1"/>
  <c r="Y637" i="1"/>
  <c r="AB637" i="1"/>
  <c r="Y625" i="1"/>
  <c r="AB625" i="1"/>
  <c r="Y617" i="1"/>
  <c r="AB617" i="1"/>
  <c r="Y613" i="1"/>
  <c r="AB613" i="1"/>
  <c r="Y609" i="1"/>
  <c r="AB609" i="1"/>
  <c r="Y581" i="1"/>
  <c r="AB581" i="1"/>
  <c r="Y577" i="1"/>
  <c r="AB577" i="1"/>
  <c r="Y573" i="1"/>
  <c r="AB573" i="1"/>
  <c r="Y569" i="1"/>
  <c r="AB569" i="1"/>
  <c r="Y545" i="1"/>
  <c r="AB545" i="1"/>
  <c r="Y541" i="1"/>
  <c r="AB541" i="1"/>
  <c r="Y537" i="1"/>
  <c r="AB537" i="1"/>
  <c r="Y533" i="1"/>
  <c r="AB533" i="1"/>
  <c r="Y529" i="1"/>
  <c r="Y523" i="1"/>
  <c r="Z523" i="1" s="1"/>
  <c r="Y519" i="1"/>
  <c r="Z519" i="1" s="1"/>
  <c r="AA519" i="1" s="1"/>
  <c r="Y515" i="1"/>
  <c r="Z515" i="1" s="1"/>
  <c r="AB291" i="1"/>
  <c r="AA291" i="1"/>
  <c r="AA710" i="1"/>
  <c r="AA646" i="1"/>
  <c r="AA582" i="1"/>
  <c r="AB531" i="1"/>
  <c r="AA745" i="1"/>
  <c r="AA743" i="1"/>
  <c r="AA741" i="1"/>
  <c r="AA733" i="1"/>
  <c r="AA729" i="1"/>
  <c r="AA727" i="1"/>
  <c r="AA725" i="1"/>
  <c r="AA721" i="1"/>
  <c r="AA717" i="1"/>
  <c r="AA713" i="1"/>
  <c r="AA711" i="1"/>
  <c r="AA709" i="1"/>
  <c r="AA705" i="1"/>
  <c r="AA701" i="1"/>
  <c r="AA697" i="1"/>
  <c r="AA695" i="1"/>
  <c r="AA693" i="1"/>
  <c r="AA689" i="1"/>
  <c r="AA685" i="1"/>
  <c r="AA681" i="1"/>
  <c r="AA679" i="1"/>
  <c r="AA677" i="1"/>
  <c r="AA663" i="1"/>
  <c r="AA657" i="1"/>
  <c r="AA653" i="1"/>
  <c r="AA647" i="1"/>
  <c r="AA641" i="1"/>
  <c r="AA639" i="1"/>
  <c r="AA637" i="1"/>
  <c r="AA631" i="1"/>
  <c r="AA625" i="1"/>
  <c r="AA623" i="1"/>
  <c r="AA617" i="1"/>
  <c r="AA615" i="1"/>
  <c r="AA613" i="1"/>
  <c r="AA609" i="1"/>
  <c r="AA607" i="1"/>
  <c r="AA599" i="1"/>
  <c r="AA591" i="1"/>
  <c r="AA583" i="1"/>
  <c r="AA581" i="1"/>
  <c r="AA577" i="1"/>
  <c r="AA575" i="1"/>
  <c r="AA573" i="1"/>
  <c r="AA569" i="1"/>
  <c r="AA567" i="1"/>
  <c r="AA559" i="1"/>
  <c r="AA551" i="1"/>
  <c r="AA545" i="1"/>
  <c r="AA543" i="1"/>
  <c r="AA541" i="1"/>
  <c r="AA537" i="1"/>
  <c r="AA535" i="1"/>
  <c r="AA533" i="1"/>
  <c r="AB663" i="1"/>
  <c r="AB647" i="1"/>
  <c r="AB631" i="1"/>
  <c r="AB599" i="1"/>
  <c r="AB591" i="1"/>
  <c r="AB559" i="1"/>
  <c r="AB551" i="1"/>
  <c r="AG27" i="1"/>
  <c r="AP27" i="1" s="1"/>
  <c r="AG25" i="1"/>
  <c r="AO25" i="1" s="1"/>
  <c r="AP326" i="1"/>
  <c r="AP324" i="1"/>
  <c r="AP322" i="1"/>
  <c r="AP320" i="1"/>
  <c r="AP318" i="1"/>
  <c r="AP316" i="1"/>
  <c r="AP314" i="1"/>
  <c r="AP310" i="1"/>
  <c r="AP308" i="1"/>
  <c r="AP306" i="1"/>
  <c r="AP302" i="1"/>
  <c r="AP300" i="1"/>
  <c r="AP298" i="1"/>
  <c r="AP296" i="1"/>
  <c r="AP292" i="1"/>
  <c r="AP290" i="1"/>
  <c r="AP288" i="1"/>
  <c r="AP282" i="1"/>
  <c r="AP280" i="1"/>
  <c r="AP278" i="1"/>
  <c r="AP276" i="1"/>
  <c r="AP274" i="1"/>
  <c r="AP270" i="1"/>
  <c r="AP268" i="1"/>
  <c r="AP266" i="1"/>
  <c r="AP264" i="1"/>
  <c r="AP262" i="1"/>
  <c r="AP260" i="1"/>
  <c r="AP258" i="1"/>
  <c r="AP256" i="1"/>
  <c r="AP252" i="1"/>
  <c r="AP246" i="1"/>
  <c r="AP240" i="1"/>
  <c r="AP238" i="1"/>
  <c r="AP236" i="1"/>
  <c r="AP234" i="1"/>
  <c r="AP232" i="1"/>
  <c r="AP230" i="1"/>
  <c r="AP228" i="1"/>
  <c r="AP226" i="1"/>
  <c r="AP224" i="1"/>
  <c r="AP222" i="1"/>
  <c r="AP214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06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3" i="1"/>
  <c r="AP49" i="1"/>
  <c r="AP43" i="1"/>
  <c r="AP41" i="1"/>
  <c r="AP33" i="1"/>
  <c r="AQ27" i="1"/>
  <c r="AR27" i="1" s="1"/>
  <c r="AP23" i="1"/>
  <c r="AQ13" i="1"/>
  <c r="AR13" i="1" s="1"/>
  <c r="AQ3" i="1"/>
  <c r="AR3" i="1" s="1"/>
  <c r="AP303" i="1"/>
  <c r="AP301" i="1"/>
  <c r="AP299" i="1"/>
  <c r="AP297" i="1"/>
  <c r="AP295" i="1"/>
  <c r="AP293" i="1"/>
  <c r="AP291" i="1"/>
  <c r="AP287" i="1"/>
  <c r="AP283" i="1"/>
  <c r="AP281" i="1"/>
  <c r="AP279" i="1"/>
  <c r="AP275" i="1"/>
  <c r="AP273" i="1"/>
  <c r="AP271" i="1"/>
  <c r="AP269" i="1"/>
  <c r="AP267" i="1"/>
  <c r="AP265" i="1"/>
  <c r="AP263" i="1"/>
  <c r="AP259" i="1"/>
  <c r="AP251" i="1"/>
  <c r="AP249" i="1"/>
  <c r="AP245" i="1"/>
  <c r="AP235" i="1"/>
  <c r="AP233" i="1"/>
  <c r="AP231" i="1"/>
  <c r="AP225" i="1"/>
  <c r="AP223" i="1"/>
  <c r="AP215" i="1"/>
  <c r="AP213" i="1"/>
  <c r="AP211" i="1"/>
  <c r="AP209" i="1"/>
  <c r="AP205" i="1"/>
  <c r="AP203" i="1"/>
  <c r="AP201" i="1"/>
  <c r="AP197" i="1"/>
  <c r="AP195" i="1"/>
  <c r="AP193" i="1"/>
  <c r="AP191" i="1"/>
  <c r="AP189" i="1"/>
  <c r="AP185" i="1"/>
  <c r="AP183" i="1"/>
  <c r="AP181" i="1"/>
  <c r="AP179" i="1"/>
  <c r="AP177" i="1"/>
  <c r="AP173" i="1"/>
  <c r="AP171" i="1"/>
  <c r="AP165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743" i="1"/>
  <c r="AC737" i="1"/>
  <c r="AC731" i="1"/>
  <c r="AC727" i="1"/>
  <c r="AC719" i="1"/>
  <c r="AC711" i="1"/>
  <c r="AC707" i="1"/>
  <c r="AC699" i="1"/>
  <c r="AC695" i="1"/>
  <c r="AC687" i="1"/>
  <c r="AC679" i="1"/>
  <c r="AC675" i="1"/>
  <c r="AC661" i="1"/>
  <c r="AC655" i="1"/>
  <c r="AC649" i="1"/>
  <c r="AC643" i="1"/>
  <c r="AC639" i="1"/>
  <c r="AC633" i="1"/>
  <c r="AC627" i="1"/>
  <c r="AC623" i="1"/>
  <c r="AC619" i="1"/>
  <c r="AC615" i="1"/>
  <c r="AC607" i="1"/>
  <c r="AC605" i="1"/>
  <c r="AC601" i="1"/>
  <c r="AC589" i="1"/>
  <c r="AC585" i="1"/>
  <c r="AC583" i="1"/>
  <c r="AC575" i="1"/>
  <c r="AC571" i="1"/>
  <c r="AC567" i="1"/>
  <c r="AC557" i="1"/>
  <c r="AC553" i="1"/>
  <c r="AC547" i="1"/>
  <c r="AC543" i="1"/>
  <c r="AC535" i="1"/>
  <c r="AC531" i="1"/>
  <c r="AC730" i="1"/>
  <c r="AC714" i="1"/>
  <c r="AC698" i="1"/>
  <c r="AC682" i="1"/>
  <c r="AC666" i="1"/>
  <c r="AC650" i="1"/>
  <c r="AC634" i="1"/>
  <c r="AC618" i="1"/>
  <c r="AC602" i="1"/>
  <c r="AC586" i="1"/>
  <c r="AC570" i="1"/>
  <c r="AC554" i="1"/>
  <c r="AC538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743" i="1"/>
  <c r="Y737" i="1"/>
  <c r="Y731" i="1"/>
  <c r="Y727" i="1"/>
  <c r="Y719" i="1"/>
  <c r="Y711" i="1"/>
  <c r="Y707" i="1"/>
  <c r="Y699" i="1"/>
  <c r="Y695" i="1"/>
  <c r="Y687" i="1"/>
  <c r="Y679" i="1"/>
  <c r="Y675" i="1"/>
  <c r="Y661" i="1"/>
  <c r="Y655" i="1"/>
  <c r="Y649" i="1"/>
  <c r="Y643" i="1"/>
  <c r="Y639" i="1"/>
  <c r="Y633" i="1"/>
  <c r="Y627" i="1"/>
  <c r="Y623" i="1"/>
  <c r="Y619" i="1"/>
  <c r="Y615" i="1"/>
  <c r="Y607" i="1"/>
  <c r="Y605" i="1"/>
  <c r="Y601" i="1"/>
  <c r="Y589" i="1"/>
  <c r="Y585" i="1"/>
  <c r="Y583" i="1"/>
  <c r="Y575" i="1"/>
  <c r="Y571" i="1"/>
  <c r="Y567" i="1"/>
  <c r="Y557" i="1"/>
  <c r="Y553" i="1"/>
  <c r="Y547" i="1"/>
  <c r="Y543" i="1"/>
  <c r="Y535" i="1"/>
  <c r="Y531" i="1"/>
  <c r="Y526" i="1"/>
  <c r="AC745" i="1"/>
  <c r="AC741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1" i="1"/>
  <c r="AC667" i="1"/>
  <c r="AC663" i="1"/>
  <c r="AC657" i="1"/>
  <c r="AC653" i="1"/>
  <c r="AC647" i="1"/>
  <c r="AC641" i="1"/>
  <c r="AC637" i="1"/>
  <c r="AC631" i="1"/>
  <c r="AC625" i="1"/>
  <c r="AC617" i="1"/>
  <c r="AC613" i="1"/>
  <c r="AC609" i="1"/>
  <c r="AC599" i="1"/>
  <c r="AC595" i="1"/>
  <c r="AC591" i="1"/>
  <c r="AC581" i="1"/>
  <c r="AC577" i="1"/>
  <c r="AC573" i="1"/>
  <c r="AC569" i="1"/>
  <c r="AC563" i="1"/>
  <c r="AC559" i="1"/>
  <c r="AC551" i="1"/>
  <c r="AC545" i="1"/>
  <c r="AC541" i="1"/>
  <c r="AC537" i="1"/>
  <c r="AC533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4" i="1"/>
  <c r="Y570" i="1"/>
  <c r="Y566" i="1"/>
  <c r="Y562" i="1"/>
  <c r="Y558" i="1"/>
  <c r="Y554" i="1"/>
  <c r="Y550" i="1"/>
  <c r="Y546" i="1"/>
  <c r="Y542" i="1"/>
  <c r="Y538" i="1"/>
  <c r="Y534" i="1"/>
  <c r="Y530" i="1"/>
  <c r="Y525" i="1"/>
  <c r="Y521" i="1"/>
  <c r="Z521" i="1" s="1"/>
  <c r="Y517" i="1"/>
  <c r="Z517" i="1" s="1"/>
  <c r="Y513" i="1"/>
  <c r="Z513" i="1" s="1"/>
  <c r="A3" i="1"/>
  <c r="AP163" i="1" l="1"/>
  <c r="AP175" i="1"/>
  <c r="AP187" i="1"/>
  <c r="AP199" i="1"/>
  <c r="AP207" i="1"/>
  <c r="AP241" i="1"/>
  <c r="AP257" i="1"/>
  <c r="AP261" i="1"/>
  <c r="AP277" i="1"/>
  <c r="AP285" i="1"/>
  <c r="AP289" i="1"/>
  <c r="AP307" i="1"/>
  <c r="AP39" i="1"/>
  <c r="AP51" i="1"/>
  <c r="AP55" i="1"/>
  <c r="AP102" i="1"/>
  <c r="AP112" i="1"/>
  <c r="AP168" i="1"/>
  <c r="AP212" i="1"/>
  <c r="AP272" i="1"/>
  <c r="AP286" i="1"/>
  <c r="AP304" i="1"/>
  <c r="AP331" i="1"/>
  <c r="AP341" i="1"/>
  <c r="AP344" i="1"/>
  <c r="AP516" i="1"/>
  <c r="AB567" i="1"/>
  <c r="Y599" i="1"/>
  <c r="Y631" i="1"/>
  <c r="AB743" i="1"/>
  <c r="AB543" i="1"/>
  <c r="AB695" i="1"/>
  <c r="AP379" i="1"/>
  <c r="AP417" i="1"/>
  <c r="AP460" i="1"/>
  <c r="AP321" i="1"/>
  <c r="AP372" i="1"/>
  <c r="AP396" i="1"/>
  <c r="AP406" i="1"/>
  <c r="AP467" i="1"/>
  <c r="AP508" i="1"/>
  <c r="Z526" i="1"/>
  <c r="Z529" i="1"/>
  <c r="AA529" i="1" s="1"/>
  <c r="AO10" i="1"/>
  <c r="AO40" i="1"/>
  <c r="AO63" i="1"/>
  <c r="AO73" i="1"/>
  <c r="AO81" i="1"/>
  <c r="AO104" i="1"/>
  <c r="AO110" i="1"/>
  <c r="AO130" i="1"/>
  <c r="AO143" i="1"/>
  <c r="AO155" i="1"/>
  <c r="AO237" i="1"/>
  <c r="AO243" i="1"/>
  <c r="AO255" i="1"/>
  <c r="AO305" i="1"/>
  <c r="AO315" i="1"/>
  <c r="AO317" i="1"/>
  <c r="AO337" i="1"/>
  <c r="AO390" i="1"/>
  <c r="AO394" i="1"/>
  <c r="AO398" i="1"/>
  <c r="AO404" i="1"/>
  <c r="AO412" i="1"/>
  <c r="AO463" i="1"/>
  <c r="AO469" i="1"/>
  <c r="AO487" i="1"/>
  <c r="AO3" i="1"/>
  <c r="AO7" i="1"/>
  <c r="AO27" i="1"/>
  <c r="AO80" i="1"/>
  <c r="AO82" i="1"/>
  <c r="AO107" i="1"/>
  <c r="AO113" i="1"/>
  <c r="AO127" i="1"/>
  <c r="AO182" i="1"/>
  <c r="AO186" i="1"/>
  <c r="AO198" i="1"/>
  <c r="AO210" i="1"/>
  <c r="AO244" i="1"/>
  <c r="AO312" i="1"/>
  <c r="AO328" i="1"/>
  <c r="AO357" i="1"/>
  <c r="AO381" i="1"/>
  <c r="AO385" i="1"/>
  <c r="AO387" i="1"/>
  <c r="AO403" i="1"/>
  <c r="AO409" i="1"/>
  <c r="AO413" i="1"/>
  <c r="AO468" i="1"/>
  <c r="AB639" i="1"/>
  <c r="AO8" i="1"/>
  <c r="AO20" i="1"/>
  <c r="AO54" i="1"/>
  <c r="AO71" i="1"/>
  <c r="AO77" i="1"/>
  <c r="AO79" i="1"/>
  <c r="AO87" i="1"/>
  <c r="AO108" i="1"/>
  <c r="AO167" i="1"/>
  <c r="AO169" i="1"/>
  <c r="AO217" i="1"/>
  <c r="AO221" i="1"/>
  <c r="AO227" i="1"/>
  <c r="AO229" i="1"/>
  <c r="AO239" i="1"/>
  <c r="AO253" i="1"/>
  <c r="AO323" i="1"/>
  <c r="AO333" i="1"/>
  <c r="AO354" i="1"/>
  <c r="AO360" i="1"/>
  <c r="AO400" i="1"/>
  <c r="AO410" i="1"/>
  <c r="AO447" i="1"/>
  <c r="AO451" i="1"/>
  <c r="AO465" i="1"/>
  <c r="AO471" i="1"/>
  <c r="AO473" i="1"/>
  <c r="AO475" i="1"/>
  <c r="AO477" i="1"/>
  <c r="AO479" i="1"/>
  <c r="AO481" i="1"/>
  <c r="AO5" i="1"/>
  <c r="AO11" i="1"/>
  <c r="AO15" i="1"/>
  <c r="AO76" i="1"/>
  <c r="AO78" i="1"/>
  <c r="AO88" i="1"/>
  <c r="AO94" i="1"/>
  <c r="AO98" i="1"/>
  <c r="AO103" i="1"/>
  <c r="AO117" i="1"/>
  <c r="AO216" i="1"/>
  <c r="AO248" i="1"/>
  <c r="AO284" i="1"/>
  <c r="AO294" i="1"/>
  <c r="AO338" i="1"/>
  <c r="AO452" i="1"/>
  <c r="AO466" i="1"/>
  <c r="AO476" i="1"/>
  <c r="AO492" i="1"/>
  <c r="AO506" i="1"/>
  <c r="AO362" i="1"/>
  <c r="AP219" i="1"/>
  <c r="AO219" i="1"/>
  <c r="AA310" i="1"/>
  <c r="AP32" i="1"/>
  <c r="AP393" i="1"/>
  <c r="AP247" i="1"/>
  <c r="AP250" i="1"/>
  <c r="AP150" i="1"/>
  <c r="Y528" i="1"/>
  <c r="Y532" i="1"/>
  <c r="Y536" i="1"/>
  <c r="Y540" i="1"/>
  <c r="Y544" i="1"/>
  <c r="Y548" i="1"/>
  <c r="Y552" i="1"/>
  <c r="Y556" i="1"/>
  <c r="Y560" i="1"/>
  <c r="Y564" i="1"/>
  <c r="Y568" i="1"/>
  <c r="Y572" i="1"/>
  <c r="Y576" i="1"/>
  <c r="Y580" i="1"/>
  <c r="Y584" i="1"/>
  <c r="Y588" i="1"/>
  <c r="Y592" i="1"/>
  <c r="Y596" i="1"/>
  <c r="Y600" i="1"/>
  <c r="Y604" i="1"/>
  <c r="Y608" i="1"/>
  <c r="Y612" i="1"/>
  <c r="Y616" i="1"/>
  <c r="Y620" i="1"/>
  <c r="Y624" i="1"/>
  <c r="Y628" i="1"/>
  <c r="Y632" i="1"/>
  <c r="Y636" i="1"/>
  <c r="Y640" i="1"/>
  <c r="Y644" i="1"/>
  <c r="Y648" i="1"/>
  <c r="Y652" i="1"/>
  <c r="Y656" i="1"/>
  <c r="Y660" i="1"/>
  <c r="Y664" i="1"/>
  <c r="Y668" i="1"/>
  <c r="Y672" i="1"/>
  <c r="Y676" i="1"/>
  <c r="Y680" i="1"/>
  <c r="Y684" i="1"/>
  <c r="Y688" i="1"/>
  <c r="Y692" i="1"/>
  <c r="Y696" i="1"/>
  <c r="Y700" i="1"/>
  <c r="Y704" i="1"/>
  <c r="Y708" i="1"/>
  <c r="Y712" i="1"/>
  <c r="Y716" i="1"/>
  <c r="Y720" i="1"/>
  <c r="Y724" i="1"/>
  <c r="Y728" i="1"/>
  <c r="Y732" i="1"/>
  <c r="Y736" i="1"/>
  <c r="Y740" i="1"/>
  <c r="Y744" i="1"/>
  <c r="AP83" i="1"/>
  <c r="AP121" i="1"/>
  <c r="AA492" i="1"/>
  <c r="AB492" i="1" s="1"/>
  <c r="AC492" i="1" s="1"/>
  <c r="AA321" i="1"/>
  <c r="AP135" i="1"/>
  <c r="AA667" i="1"/>
  <c r="AA550" i="1"/>
  <c r="AA614" i="1"/>
  <c r="AA678" i="1"/>
  <c r="AA742" i="1"/>
  <c r="AA467" i="1"/>
  <c r="AB467" i="1" s="1"/>
  <c r="AC467" i="1" s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687" i="1"/>
  <c r="AB675" i="1"/>
  <c r="AP16" i="1"/>
  <c r="AA523" i="1"/>
  <c r="AB519" i="1"/>
  <c r="AC519" i="1" s="1"/>
  <c r="AA504" i="1"/>
  <c r="AB504" i="1" s="1"/>
  <c r="AC504" i="1" s="1"/>
  <c r="AA508" i="1"/>
  <c r="AB508" i="1" s="1"/>
  <c r="AC508" i="1" s="1"/>
  <c r="Y561" i="1"/>
  <c r="Y629" i="1"/>
  <c r="Y635" i="1"/>
  <c r="Y669" i="1"/>
  <c r="Y715" i="1"/>
  <c r="Y723" i="1"/>
  <c r="AC530" i="1"/>
  <c r="AC546" i="1"/>
  <c r="AC562" i="1"/>
  <c r="AC578" i="1"/>
  <c r="AC594" i="1"/>
  <c r="AC610" i="1"/>
  <c r="AC626" i="1"/>
  <c r="AC642" i="1"/>
  <c r="AC658" i="1"/>
  <c r="AC674" i="1"/>
  <c r="AC690" i="1"/>
  <c r="AC706" i="1"/>
  <c r="AC722" i="1"/>
  <c r="AC738" i="1"/>
  <c r="AP14" i="1"/>
  <c r="AP18" i="1"/>
  <c r="AP85" i="1"/>
  <c r="AP25" i="1"/>
  <c r="AA534" i="1"/>
  <c r="AA566" i="1"/>
  <c r="AA598" i="1"/>
  <c r="AA630" i="1"/>
  <c r="AA662" i="1"/>
  <c r="AA694" i="1"/>
  <c r="AA726" i="1"/>
  <c r="AC525" i="1"/>
  <c r="AC534" i="1"/>
  <c r="AC542" i="1"/>
  <c r="AC550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P119" i="1"/>
  <c r="AA525" i="1"/>
  <c r="AA542" i="1"/>
  <c r="AA558" i="1"/>
  <c r="AA574" i="1"/>
  <c r="AA590" i="1"/>
  <c r="AA606" i="1"/>
  <c r="AA622" i="1"/>
  <c r="AA638" i="1"/>
  <c r="AA654" i="1"/>
  <c r="AA670" i="1"/>
  <c r="AA686" i="1"/>
  <c r="AA702" i="1"/>
  <c r="AA718" i="1"/>
  <c r="AA734" i="1"/>
  <c r="AP115" i="1"/>
  <c r="AP19" i="1"/>
  <c r="AP125" i="1"/>
  <c r="AP154" i="1"/>
  <c r="AB579" i="1"/>
  <c r="AB739" i="1"/>
  <c r="AA530" i="1"/>
  <c r="AA538" i="1"/>
  <c r="AA546" i="1"/>
  <c r="AA554" i="1"/>
  <c r="AA562" i="1"/>
  <c r="AA570" i="1"/>
  <c r="AA578" i="1"/>
  <c r="AA586" i="1"/>
  <c r="AA594" i="1"/>
  <c r="AA602" i="1"/>
  <c r="AA610" i="1"/>
  <c r="AA618" i="1"/>
  <c r="AA626" i="1"/>
  <c r="AA634" i="1"/>
  <c r="AA642" i="1"/>
  <c r="AA650" i="1"/>
  <c r="AA658" i="1"/>
  <c r="AA666" i="1"/>
  <c r="AA674" i="1"/>
  <c r="AA682" i="1"/>
  <c r="AA690" i="1"/>
  <c r="AA698" i="1"/>
  <c r="AA706" i="1"/>
  <c r="AA714" i="1"/>
  <c r="AA722" i="1"/>
  <c r="AA730" i="1"/>
  <c r="AA738" i="1"/>
  <c r="Z501" i="1"/>
  <c r="AA501" i="1" s="1"/>
  <c r="AB501" i="1" s="1"/>
  <c r="AC501" i="1" s="1"/>
  <c r="Z495" i="1"/>
  <c r="AA495" i="1" s="1"/>
  <c r="AB495" i="1" s="1"/>
  <c r="AC495" i="1" s="1"/>
  <c r="AA489" i="1"/>
  <c r="AB489" i="1" s="1"/>
  <c r="AC489" i="1" s="1"/>
  <c r="AP56" i="1"/>
  <c r="AP37" i="1"/>
  <c r="AA671" i="1"/>
  <c r="AB563" i="1"/>
  <c r="AB627" i="1"/>
  <c r="AB699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587" i="1"/>
  <c r="AC603" i="1"/>
  <c r="AC561" i="1"/>
  <c r="AC629" i="1"/>
  <c r="AC635" i="1"/>
  <c r="AC715" i="1"/>
  <c r="AC723" i="1"/>
  <c r="AP92" i="1"/>
  <c r="Y480" i="1"/>
  <c r="Z480" i="1" s="1"/>
  <c r="Y503" i="1"/>
  <c r="Z503" i="1" s="1"/>
  <c r="AC739" i="1"/>
  <c r="Y524" i="1"/>
  <c r="Z524" i="1" s="1"/>
  <c r="Y539" i="1"/>
  <c r="Y597" i="1"/>
  <c r="Y611" i="1"/>
  <c r="Y683" i="1"/>
  <c r="Y691" i="1"/>
  <c r="AP6" i="1"/>
  <c r="AP101" i="1"/>
  <c r="AP128" i="1"/>
  <c r="AP13" i="1"/>
  <c r="AP21" i="1"/>
  <c r="Z549" i="1"/>
  <c r="AC549" i="1"/>
  <c r="Z621" i="1"/>
  <c r="AC621" i="1"/>
  <c r="Z645" i="1"/>
  <c r="AC645" i="1"/>
  <c r="Z703" i="1"/>
  <c r="AC703" i="1"/>
  <c r="AP17" i="1"/>
  <c r="AC735" i="1"/>
  <c r="Y549" i="1"/>
  <c r="Y621" i="1"/>
  <c r="Y645" i="1"/>
  <c r="Y665" i="1"/>
  <c r="Y673" i="1"/>
  <c r="Y703" i="1"/>
  <c r="AC539" i="1"/>
  <c r="AC597" i="1"/>
  <c r="AC611" i="1"/>
  <c r="AC683" i="1"/>
  <c r="AC691" i="1"/>
  <c r="AP4" i="1"/>
  <c r="AP60" i="1"/>
  <c r="AP65" i="1"/>
  <c r="AP89" i="1"/>
  <c r="AP96" i="1"/>
  <c r="AP105" i="1"/>
  <c r="AP69" i="1"/>
  <c r="AP9" i="1"/>
  <c r="Z565" i="1"/>
  <c r="AC565" i="1"/>
  <c r="Z579" i="1"/>
  <c r="AC579" i="1"/>
  <c r="Z593" i="1"/>
  <c r="AC593" i="1"/>
  <c r="Z651" i="1"/>
  <c r="AC651" i="1"/>
  <c r="Z659" i="1"/>
  <c r="AC659" i="1"/>
  <c r="AP118" i="1"/>
  <c r="AA603" i="1"/>
  <c r="AA629" i="1"/>
  <c r="AP149" i="1"/>
  <c r="AP29" i="1"/>
  <c r="AP136" i="1"/>
  <c r="AP448" i="1"/>
  <c r="Z528" i="1"/>
  <c r="AA528" i="1"/>
  <c r="Z532" i="1"/>
  <c r="AA532" i="1"/>
  <c r="Z536" i="1"/>
  <c r="AA536" i="1"/>
  <c r="Z540" i="1"/>
  <c r="AA540" i="1"/>
  <c r="Z544" i="1"/>
  <c r="AA544" i="1"/>
  <c r="Z548" i="1"/>
  <c r="AA548" i="1"/>
  <c r="Z552" i="1"/>
  <c r="AA552" i="1"/>
  <c r="Z556" i="1"/>
  <c r="AA556" i="1"/>
  <c r="Z560" i="1"/>
  <c r="AA560" i="1"/>
  <c r="Z564" i="1"/>
  <c r="AA564" i="1"/>
  <c r="Z568" i="1"/>
  <c r="AA568" i="1"/>
  <c r="Z572" i="1"/>
  <c r="AA572" i="1"/>
  <c r="Z576" i="1"/>
  <c r="AA576" i="1"/>
  <c r="Z580" i="1"/>
  <c r="AA580" i="1"/>
  <c r="Z584" i="1"/>
  <c r="AA584" i="1"/>
  <c r="Z588" i="1"/>
  <c r="AA588" i="1"/>
  <c r="Z592" i="1"/>
  <c r="AA592" i="1"/>
  <c r="Z596" i="1"/>
  <c r="AA596" i="1"/>
  <c r="Z600" i="1"/>
  <c r="AA600" i="1"/>
  <c r="Z604" i="1"/>
  <c r="AA604" i="1"/>
  <c r="Z608" i="1"/>
  <c r="AA608" i="1"/>
  <c r="Z612" i="1"/>
  <c r="AA612" i="1"/>
  <c r="Z616" i="1"/>
  <c r="AA616" i="1"/>
  <c r="Z620" i="1"/>
  <c r="AA620" i="1"/>
  <c r="Z624" i="1"/>
  <c r="AA624" i="1"/>
  <c r="Z628" i="1"/>
  <c r="AA628" i="1"/>
  <c r="Z632" i="1"/>
  <c r="AA632" i="1"/>
  <c r="Z636" i="1"/>
  <c r="AA636" i="1"/>
  <c r="Z640" i="1"/>
  <c r="AA640" i="1"/>
  <c r="Z644" i="1"/>
  <c r="AA644" i="1"/>
  <c r="Z648" i="1"/>
  <c r="AA648" i="1"/>
  <c r="Z652" i="1"/>
  <c r="AA652" i="1"/>
  <c r="Z656" i="1"/>
  <c r="AA656" i="1"/>
  <c r="Z660" i="1"/>
  <c r="AA660" i="1"/>
  <c r="Z664" i="1"/>
  <c r="AA664" i="1"/>
  <c r="Z668" i="1"/>
  <c r="AA668" i="1"/>
  <c r="Z672" i="1"/>
  <c r="AA672" i="1"/>
  <c r="Z676" i="1"/>
  <c r="AA676" i="1"/>
  <c r="Z680" i="1"/>
  <c r="AA680" i="1"/>
  <c r="Z684" i="1"/>
  <c r="AA684" i="1"/>
  <c r="Z688" i="1"/>
  <c r="AA688" i="1"/>
  <c r="Z692" i="1"/>
  <c r="AA692" i="1"/>
  <c r="Z696" i="1"/>
  <c r="AA696" i="1"/>
  <c r="Z700" i="1"/>
  <c r="AA700" i="1"/>
  <c r="Z704" i="1"/>
  <c r="AA704" i="1"/>
  <c r="Z708" i="1"/>
  <c r="AA708" i="1"/>
  <c r="Z712" i="1"/>
  <c r="AA712" i="1"/>
  <c r="Z716" i="1"/>
  <c r="AA716" i="1"/>
  <c r="Z720" i="1"/>
  <c r="AA720" i="1"/>
  <c r="Z724" i="1"/>
  <c r="AA724" i="1"/>
  <c r="Z728" i="1"/>
  <c r="AA728" i="1"/>
  <c r="Z732" i="1"/>
  <c r="AA732" i="1"/>
  <c r="Z736" i="1"/>
  <c r="AA736" i="1"/>
  <c r="Z740" i="1"/>
  <c r="AA740" i="1"/>
  <c r="Z744" i="1"/>
  <c r="AA744" i="1"/>
  <c r="Z555" i="1"/>
  <c r="AA555" i="1"/>
  <c r="Z665" i="1"/>
  <c r="AA665" i="1"/>
  <c r="Z669" i="1"/>
  <c r="AA669" i="1"/>
  <c r="Z673" i="1"/>
  <c r="AA673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587" i="1"/>
  <c r="AA645" i="1"/>
  <c r="AB611" i="1"/>
  <c r="AB659" i="1"/>
  <c r="AB691" i="1"/>
  <c r="AB723" i="1"/>
  <c r="AB671" i="1"/>
  <c r="AA456" i="1"/>
  <c r="AA553" i="1"/>
  <c r="AA557" i="1"/>
  <c r="AA563" i="1"/>
  <c r="AA585" i="1"/>
  <c r="AA589" i="1"/>
  <c r="AA595" i="1"/>
  <c r="AA601" i="1"/>
  <c r="AA605" i="1"/>
  <c r="AA633" i="1"/>
  <c r="AA649" i="1"/>
  <c r="AA655" i="1"/>
  <c r="AA661" i="1"/>
  <c r="AA719" i="1"/>
  <c r="AA737" i="1"/>
  <c r="AB547" i="1"/>
  <c r="AB571" i="1"/>
  <c r="AB595" i="1"/>
  <c r="AB619" i="1"/>
  <c r="AB643" i="1"/>
  <c r="AB667" i="1"/>
  <c r="AB707" i="1"/>
  <c r="AB731" i="1"/>
  <c r="AA401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735" i="1"/>
  <c r="AA343" i="1"/>
  <c r="AA549" i="1"/>
  <c r="AA561" i="1"/>
  <c r="AA565" i="1"/>
  <c r="AA593" i="1"/>
  <c r="AA597" i="1"/>
  <c r="AA621" i="1"/>
  <c r="AA703" i="1"/>
  <c r="AA735" i="1"/>
  <c r="AA739" i="1"/>
  <c r="AB539" i="1"/>
  <c r="AB555" i="1"/>
  <c r="AB587" i="1"/>
  <c r="AB603" i="1"/>
  <c r="AB635" i="1"/>
  <c r="AB651" i="1"/>
  <c r="AB683" i="1"/>
  <c r="AB715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B30" i="1" s="1"/>
  <c r="AC30" i="1" s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B525" i="1"/>
  <c r="AB528" i="1"/>
  <c r="AB530" i="1"/>
  <c r="AB532" i="1"/>
  <c r="AB534" i="1"/>
  <c r="AB536" i="1"/>
  <c r="AB538" i="1"/>
  <c r="AB540" i="1"/>
  <c r="AB542" i="1"/>
  <c r="AB544" i="1"/>
  <c r="AB546" i="1"/>
  <c r="AB548" i="1"/>
  <c r="AB550" i="1"/>
  <c r="AB552" i="1"/>
  <c r="AB554" i="1"/>
  <c r="AB556" i="1"/>
  <c r="AB558" i="1"/>
  <c r="AB560" i="1"/>
  <c r="AB562" i="1"/>
  <c r="AB564" i="1"/>
  <c r="AB566" i="1"/>
  <c r="AB568" i="1"/>
  <c r="AB570" i="1"/>
  <c r="AB572" i="1"/>
  <c r="AB574" i="1"/>
  <c r="AB576" i="1"/>
  <c r="AB578" i="1"/>
  <c r="AB580" i="1"/>
  <c r="AB582" i="1"/>
  <c r="AB584" i="1"/>
  <c r="AB586" i="1"/>
  <c r="AB588" i="1"/>
  <c r="AB590" i="1"/>
  <c r="AB592" i="1"/>
  <c r="AB594" i="1"/>
  <c r="AB596" i="1"/>
  <c r="AB598" i="1"/>
  <c r="AB600" i="1"/>
  <c r="AB602" i="1"/>
  <c r="AB604" i="1"/>
  <c r="AB606" i="1"/>
  <c r="AB608" i="1"/>
  <c r="AB610" i="1"/>
  <c r="AB612" i="1"/>
  <c r="AB614" i="1"/>
  <c r="AB616" i="1"/>
  <c r="AB618" i="1"/>
  <c r="AB620" i="1"/>
  <c r="AB622" i="1"/>
  <c r="AB624" i="1"/>
  <c r="AB626" i="1"/>
  <c r="AB628" i="1"/>
  <c r="AB630" i="1"/>
  <c r="AB632" i="1"/>
  <c r="AB634" i="1"/>
  <c r="AB636" i="1"/>
  <c r="AB638" i="1"/>
  <c r="AB640" i="1"/>
  <c r="AB642" i="1"/>
  <c r="AB644" i="1"/>
  <c r="AB646" i="1"/>
  <c r="AB648" i="1"/>
  <c r="AB650" i="1"/>
  <c r="AB652" i="1"/>
  <c r="AB654" i="1"/>
  <c r="AB656" i="1"/>
  <c r="AB658" i="1"/>
  <c r="AB660" i="1"/>
  <c r="AB662" i="1"/>
  <c r="AB664" i="1"/>
  <c r="AB666" i="1"/>
  <c r="AB668" i="1"/>
  <c r="AB670" i="1"/>
  <c r="AB672" i="1"/>
  <c r="AB674" i="1"/>
  <c r="AB676" i="1"/>
  <c r="AB678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343" i="1"/>
  <c r="AC343" i="1" s="1"/>
  <c r="AB401" i="1"/>
  <c r="AC401" i="1" s="1"/>
  <c r="AB456" i="1"/>
  <c r="AC456" i="1" s="1"/>
  <c r="AA531" i="1"/>
  <c r="AA539" i="1"/>
  <c r="AA547" i="1"/>
  <c r="AB549" i="1"/>
  <c r="AB553" i="1"/>
  <c r="Y555" i="1"/>
  <c r="AB557" i="1"/>
  <c r="AB561" i="1"/>
  <c r="Y563" i="1"/>
  <c r="AB565" i="1"/>
  <c r="AA571" i="1"/>
  <c r="AA579" i="1"/>
  <c r="AB585" i="1"/>
  <c r="Y587" i="1"/>
  <c r="AB589" i="1"/>
  <c r="AB593" i="1"/>
  <c r="Y595" i="1"/>
  <c r="AB597" i="1"/>
  <c r="AB601" i="1"/>
  <c r="Y603" i="1"/>
  <c r="AB605" i="1"/>
  <c r="AA611" i="1"/>
  <c r="AA619" i="1"/>
  <c r="AB621" i="1"/>
  <c r="AA627" i="1"/>
  <c r="AB629" i="1"/>
  <c r="AB633" i="1"/>
  <c r="AA635" i="1"/>
  <c r="AA643" i="1"/>
  <c r="AB645" i="1"/>
  <c r="AB649" i="1"/>
  <c r="AA651" i="1"/>
  <c r="AB655" i="1"/>
  <c r="AA659" i="1"/>
  <c r="AB661" i="1"/>
  <c r="AB665" i="1"/>
  <c r="Y667" i="1"/>
  <c r="AB669" i="1"/>
  <c r="Y671" i="1"/>
  <c r="AB673" i="1"/>
  <c r="AA675" i="1"/>
  <c r="AA683" i="1"/>
  <c r="AB687" i="1"/>
  <c r="AA691" i="1"/>
  <c r="AA699" i="1"/>
  <c r="AB703" i="1"/>
  <c r="AA707" i="1"/>
  <c r="AA715" i="1"/>
  <c r="AB719" i="1"/>
  <c r="AA723" i="1"/>
  <c r="AA731" i="1"/>
  <c r="Y735" i="1"/>
  <c r="AB737" i="1"/>
  <c r="Y739" i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Z262" i="1"/>
  <c r="AA262" i="1" s="1"/>
  <c r="AB262" i="1" s="1"/>
  <c r="AC262" i="1" s="1"/>
  <c r="Z363" i="1"/>
  <c r="AA363" i="1" s="1"/>
  <c r="AB363" i="1" s="1"/>
  <c r="AC363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B329" i="1" s="1"/>
  <c r="AC329" i="1" s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B529" i="1" l="1"/>
  <c r="AC529" i="1" s="1"/>
  <c r="AA526" i="1"/>
  <c r="AB526" i="1" s="1"/>
  <c r="AC526" i="1" s="1"/>
  <c r="AA524" i="1"/>
  <c r="AB524" i="1" s="1"/>
  <c r="AC524" i="1" s="1"/>
  <c r="AB425" i="1"/>
  <c r="AC425" i="1" s="1"/>
  <c r="AB399" i="1"/>
  <c r="AC399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505" i="1"/>
  <c r="AC505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K525" i="1" l="1"/>
  <c r="AV525" i="1" s="1"/>
  <c r="AX525" i="1" s="1"/>
  <c r="AK530" i="1"/>
  <c r="AV530" i="1" s="1"/>
  <c r="AX530" i="1" s="1"/>
  <c r="AK531" i="1"/>
  <c r="AV531" i="1" s="1"/>
  <c r="AX531" i="1" s="1"/>
  <c r="AK533" i="1"/>
  <c r="AV533" i="1" s="1"/>
  <c r="AX533" i="1" s="1"/>
  <c r="AK534" i="1"/>
  <c r="AV534" i="1" s="1"/>
  <c r="AX534" i="1" s="1"/>
  <c r="AK537" i="1"/>
  <c r="AV537" i="1" s="1"/>
  <c r="AX537" i="1" s="1"/>
  <c r="AK538" i="1"/>
  <c r="AV538" i="1" s="1"/>
  <c r="AX538" i="1" s="1"/>
  <c r="AK539" i="1"/>
  <c r="AV539" i="1" s="1"/>
  <c r="AX539" i="1" s="1"/>
  <c r="AK541" i="1"/>
  <c r="AV541" i="1" s="1"/>
  <c r="AX541" i="1" s="1"/>
  <c r="AK542" i="1"/>
  <c r="AV542" i="1" s="1"/>
  <c r="AX542" i="1" s="1"/>
  <c r="AK545" i="1"/>
  <c r="AV545" i="1" s="1"/>
  <c r="AX545" i="1" s="1"/>
  <c r="AK546" i="1"/>
  <c r="AV546" i="1" s="1"/>
  <c r="AX546" i="1" s="1"/>
  <c r="AK547" i="1"/>
  <c r="AV547" i="1" s="1"/>
  <c r="AX547" i="1" s="1"/>
  <c r="AK548" i="1"/>
  <c r="AV548" i="1" s="1"/>
  <c r="AX548" i="1" s="1"/>
  <c r="AK549" i="1"/>
  <c r="AV549" i="1" s="1"/>
  <c r="AX549" i="1" s="1"/>
  <c r="AK550" i="1"/>
  <c r="AV550" i="1" s="1"/>
  <c r="AX550" i="1" s="1"/>
  <c r="AK554" i="1"/>
  <c r="AV554" i="1" s="1"/>
  <c r="AX554" i="1" s="1"/>
  <c r="AK555" i="1"/>
  <c r="AV555" i="1" s="1"/>
  <c r="AX555" i="1" s="1"/>
  <c r="AK557" i="1"/>
  <c r="AV557" i="1" s="1"/>
  <c r="AX557" i="1" s="1"/>
  <c r="AK558" i="1"/>
  <c r="AV558" i="1" s="1"/>
  <c r="AX558" i="1" s="1"/>
  <c r="AK562" i="1"/>
  <c r="AV562" i="1" s="1"/>
  <c r="AX562" i="1" s="1"/>
  <c r="AK563" i="1"/>
  <c r="AV563" i="1" s="1"/>
  <c r="AX563" i="1" s="1"/>
  <c r="AK565" i="1"/>
  <c r="AV565" i="1" s="1"/>
  <c r="AX565" i="1" s="1"/>
  <c r="AK566" i="1"/>
  <c r="AV566" i="1" s="1"/>
  <c r="AX566" i="1" s="1"/>
  <c r="AK568" i="1"/>
  <c r="AV568" i="1" s="1"/>
  <c r="AX568" i="1" s="1"/>
  <c r="AK570" i="1"/>
  <c r="AV570" i="1" s="1"/>
  <c r="AX570" i="1" s="1"/>
  <c r="AK571" i="1"/>
  <c r="AV571" i="1" s="1"/>
  <c r="AX571" i="1" s="1"/>
  <c r="AK572" i="1"/>
  <c r="AV572" i="1" s="1"/>
  <c r="AX572" i="1" s="1"/>
  <c r="AK573" i="1"/>
  <c r="AV573" i="1" s="1"/>
  <c r="AX573" i="1" s="1"/>
  <c r="AK574" i="1"/>
  <c r="AV574" i="1" s="1"/>
  <c r="AX574" i="1" s="1"/>
  <c r="AK576" i="1"/>
  <c r="AV576" i="1" s="1"/>
  <c r="AX576" i="1" s="1"/>
  <c r="AK578" i="1"/>
  <c r="AV578" i="1" s="1"/>
  <c r="AX578" i="1" s="1"/>
  <c r="AK579" i="1"/>
  <c r="AV579" i="1" s="1"/>
  <c r="AX579" i="1" s="1"/>
  <c r="AK580" i="1"/>
  <c r="AV580" i="1" s="1"/>
  <c r="AX580" i="1" s="1"/>
  <c r="AK581" i="1"/>
  <c r="AV581" i="1" s="1"/>
  <c r="AX581" i="1" s="1"/>
  <c r="AK582" i="1"/>
  <c r="AV582" i="1" s="1"/>
  <c r="AX582" i="1" s="1"/>
  <c r="AK584" i="1"/>
  <c r="AV584" i="1" s="1"/>
  <c r="AX584" i="1" s="1"/>
  <c r="AK586" i="1"/>
  <c r="AV586" i="1" s="1"/>
  <c r="AX586" i="1" s="1"/>
  <c r="AK587" i="1"/>
  <c r="AV587" i="1" s="1"/>
  <c r="AX587" i="1" s="1"/>
  <c r="AK588" i="1"/>
  <c r="AV588" i="1" s="1"/>
  <c r="AX588" i="1" s="1"/>
  <c r="AK589" i="1"/>
  <c r="AV589" i="1" s="1"/>
  <c r="AX589" i="1" s="1"/>
  <c r="AK590" i="1"/>
  <c r="AV590" i="1" s="1"/>
  <c r="AX590" i="1" s="1"/>
  <c r="AK592" i="1"/>
  <c r="AV592" i="1" s="1"/>
  <c r="AX592" i="1" s="1"/>
  <c r="AK594" i="1"/>
  <c r="AV594" i="1" s="1"/>
  <c r="AX594" i="1" s="1"/>
  <c r="AK595" i="1"/>
  <c r="AV595" i="1" s="1"/>
  <c r="AX595" i="1" s="1"/>
  <c r="AK596" i="1"/>
  <c r="AV596" i="1" s="1"/>
  <c r="AX596" i="1" s="1"/>
  <c r="AK597" i="1"/>
  <c r="AV597" i="1" s="1"/>
  <c r="AX597" i="1" s="1"/>
  <c r="AK598" i="1"/>
  <c r="AV598" i="1" s="1"/>
  <c r="AX598" i="1" s="1"/>
  <c r="AK600" i="1"/>
  <c r="AV600" i="1" s="1"/>
  <c r="AX600" i="1" s="1"/>
  <c r="AK602" i="1"/>
  <c r="AV602" i="1" s="1"/>
  <c r="AX602" i="1" s="1"/>
  <c r="AK603" i="1"/>
  <c r="AV603" i="1" s="1"/>
  <c r="AX603" i="1" s="1"/>
  <c r="AK604" i="1"/>
  <c r="AV604" i="1" s="1"/>
  <c r="AX604" i="1" s="1"/>
  <c r="AK605" i="1"/>
  <c r="AV605" i="1" s="1"/>
  <c r="AX605" i="1" s="1"/>
  <c r="AK606" i="1"/>
  <c r="AV606" i="1" s="1"/>
  <c r="AX606" i="1" s="1"/>
  <c r="AK608" i="1"/>
  <c r="AV608" i="1" s="1"/>
  <c r="AX608" i="1" s="1"/>
  <c r="AK609" i="1"/>
  <c r="AV609" i="1" s="1"/>
  <c r="AX609" i="1" s="1"/>
  <c r="AK610" i="1"/>
  <c r="AV610" i="1" s="1"/>
  <c r="AX610" i="1" s="1"/>
  <c r="AK611" i="1"/>
  <c r="AV611" i="1" s="1"/>
  <c r="AX611" i="1" s="1"/>
  <c r="AK612" i="1"/>
  <c r="AV612" i="1" s="1"/>
  <c r="AX612" i="1" s="1"/>
  <c r="AK613" i="1"/>
  <c r="AV613" i="1" s="1"/>
  <c r="AX613" i="1" s="1"/>
  <c r="AK614" i="1"/>
  <c r="AV614" i="1" s="1"/>
  <c r="AX614" i="1" s="1"/>
  <c r="AK616" i="1"/>
  <c r="AV616" i="1" s="1"/>
  <c r="AX616" i="1" s="1"/>
  <c r="AK618" i="1"/>
  <c r="AV618" i="1" s="1"/>
  <c r="AX618" i="1" s="1"/>
  <c r="AK619" i="1"/>
  <c r="AV619" i="1" s="1"/>
  <c r="AX619" i="1" s="1"/>
  <c r="AK620" i="1"/>
  <c r="AV620" i="1" s="1"/>
  <c r="AX620" i="1" s="1"/>
  <c r="AK621" i="1"/>
  <c r="AV621" i="1" s="1"/>
  <c r="AX621" i="1" s="1"/>
  <c r="AK622" i="1"/>
  <c r="AV622" i="1" s="1"/>
  <c r="AX622" i="1" s="1"/>
  <c r="AK624" i="1"/>
  <c r="AV624" i="1" s="1"/>
  <c r="AX624" i="1" s="1"/>
  <c r="AK626" i="1"/>
  <c r="AV626" i="1" s="1"/>
  <c r="AX626" i="1" s="1"/>
  <c r="AK627" i="1"/>
  <c r="AV627" i="1" s="1"/>
  <c r="AX627" i="1" s="1"/>
  <c r="AK628" i="1"/>
  <c r="AV628" i="1" s="1"/>
  <c r="AX628" i="1" s="1"/>
  <c r="AK629" i="1"/>
  <c r="AV629" i="1" s="1"/>
  <c r="AX629" i="1" s="1"/>
  <c r="AK630" i="1"/>
  <c r="AV630" i="1" s="1"/>
  <c r="AX630" i="1" s="1"/>
  <c r="AK632" i="1"/>
  <c r="AV632" i="1" s="1"/>
  <c r="AX632" i="1" s="1"/>
  <c r="AK634" i="1"/>
  <c r="AV634" i="1" s="1"/>
  <c r="AX634" i="1" s="1"/>
  <c r="AK636" i="1"/>
  <c r="AV636" i="1" s="1"/>
  <c r="AX636" i="1" s="1"/>
  <c r="AK637" i="1"/>
  <c r="AV637" i="1" s="1"/>
  <c r="AX637" i="1" s="1"/>
  <c r="AK638" i="1"/>
  <c r="AV638" i="1" s="1"/>
  <c r="AX638" i="1" s="1"/>
  <c r="AK640" i="1"/>
  <c r="AV640" i="1" s="1"/>
  <c r="AX640" i="1" s="1"/>
  <c r="AK642" i="1"/>
  <c r="AV642" i="1" s="1"/>
  <c r="AX642" i="1" s="1"/>
  <c r="AK643" i="1"/>
  <c r="AV643" i="1" s="1"/>
  <c r="AX643" i="1" s="1"/>
  <c r="AK644" i="1"/>
  <c r="AV644" i="1" s="1"/>
  <c r="AX644" i="1" s="1"/>
  <c r="AK645" i="1"/>
  <c r="AV645" i="1" s="1"/>
  <c r="AX645" i="1" s="1"/>
  <c r="AK646" i="1"/>
  <c r="AV646" i="1" s="1"/>
  <c r="AX646" i="1" s="1"/>
  <c r="AK648" i="1"/>
  <c r="AV648" i="1" s="1"/>
  <c r="AX648" i="1" s="1"/>
  <c r="AK649" i="1"/>
  <c r="AV649" i="1" s="1"/>
  <c r="AX649" i="1" s="1"/>
  <c r="AK650" i="1"/>
  <c r="AV650" i="1" s="1"/>
  <c r="AX650" i="1" s="1"/>
  <c r="AK651" i="1"/>
  <c r="AV651" i="1" s="1"/>
  <c r="AX651" i="1" s="1"/>
  <c r="AK652" i="1"/>
  <c r="AV652" i="1" s="1"/>
  <c r="AX652" i="1" s="1"/>
  <c r="AK653" i="1"/>
  <c r="AV653" i="1" s="1"/>
  <c r="AX653" i="1" s="1"/>
  <c r="AK654" i="1"/>
  <c r="AV654" i="1" s="1"/>
  <c r="AX654" i="1" s="1"/>
  <c r="AK656" i="1"/>
  <c r="AV656" i="1" s="1"/>
  <c r="AX656" i="1" s="1"/>
  <c r="AK658" i="1"/>
  <c r="AV658" i="1" s="1"/>
  <c r="AX658" i="1" s="1"/>
  <c r="AK659" i="1"/>
  <c r="AV659" i="1" s="1"/>
  <c r="AX659" i="1" s="1"/>
  <c r="AK660" i="1"/>
  <c r="AV660" i="1" s="1"/>
  <c r="AX660" i="1" s="1"/>
  <c r="AK661" i="1"/>
  <c r="AV661" i="1" s="1"/>
  <c r="AX661" i="1" s="1"/>
  <c r="AK662" i="1"/>
  <c r="AV662" i="1" s="1"/>
  <c r="AX662" i="1" s="1"/>
  <c r="AK664" i="1"/>
  <c r="AV664" i="1" s="1"/>
  <c r="AX664" i="1" s="1"/>
  <c r="AK666" i="1"/>
  <c r="AV666" i="1" s="1"/>
  <c r="AX666" i="1" s="1"/>
  <c r="AK667" i="1"/>
  <c r="AV667" i="1" s="1"/>
  <c r="AX667" i="1" s="1"/>
  <c r="AK668" i="1"/>
  <c r="AV668" i="1" s="1"/>
  <c r="AX668" i="1" s="1"/>
  <c r="AK669" i="1"/>
  <c r="AV669" i="1" s="1"/>
  <c r="AX669" i="1" s="1"/>
  <c r="AK670" i="1"/>
  <c r="AV670" i="1" s="1"/>
  <c r="AX670" i="1" s="1"/>
  <c r="AK672" i="1"/>
  <c r="AV672" i="1" s="1"/>
  <c r="AX672" i="1" s="1"/>
  <c r="AK673" i="1"/>
  <c r="AV673" i="1" s="1"/>
  <c r="AX673" i="1" s="1"/>
  <c r="AK674" i="1"/>
  <c r="AV674" i="1" s="1"/>
  <c r="AX674" i="1" s="1"/>
  <c r="AK675" i="1"/>
  <c r="AV675" i="1" s="1"/>
  <c r="AX675" i="1" s="1"/>
  <c r="AK676" i="1"/>
  <c r="AV676" i="1" s="1"/>
  <c r="AX676" i="1" s="1"/>
  <c r="AK677" i="1"/>
  <c r="AV677" i="1" s="1"/>
  <c r="AX677" i="1" s="1"/>
  <c r="AK678" i="1"/>
  <c r="AV678" i="1" s="1"/>
  <c r="AX678" i="1" s="1"/>
  <c r="AK680" i="1"/>
  <c r="AV680" i="1" s="1"/>
  <c r="AX680" i="1" s="1"/>
  <c r="AK682" i="1"/>
  <c r="AV682" i="1" s="1"/>
  <c r="AX682" i="1" s="1"/>
  <c r="AK683" i="1"/>
  <c r="AV683" i="1" s="1"/>
  <c r="AX683" i="1" s="1"/>
  <c r="AK684" i="1"/>
  <c r="AV684" i="1" s="1"/>
  <c r="AX684" i="1" s="1"/>
  <c r="AK685" i="1"/>
  <c r="AV685" i="1" s="1"/>
  <c r="AX685" i="1" s="1"/>
  <c r="AK686" i="1"/>
  <c r="AV686" i="1" s="1"/>
  <c r="AX686" i="1" s="1"/>
  <c r="AK688" i="1"/>
  <c r="AV688" i="1" s="1"/>
  <c r="AX688" i="1" s="1"/>
  <c r="AK690" i="1"/>
  <c r="AV690" i="1" s="1"/>
  <c r="AX690" i="1" s="1"/>
  <c r="AK691" i="1"/>
  <c r="AV691" i="1" s="1"/>
  <c r="AX691" i="1" s="1"/>
  <c r="AK692" i="1"/>
  <c r="AV692" i="1" s="1"/>
  <c r="AX692" i="1" s="1"/>
  <c r="AK693" i="1"/>
  <c r="AV693" i="1" s="1"/>
  <c r="AX693" i="1" s="1"/>
  <c r="AK694" i="1"/>
  <c r="AV694" i="1" s="1"/>
  <c r="AX694" i="1" s="1"/>
  <c r="AK696" i="1"/>
  <c r="AV696" i="1" s="1"/>
  <c r="AX696" i="1" s="1"/>
  <c r="AK698" i="1"/>
  <c r="AV698" i="1" s="1"/>
  <c r="AX698" i="1" s="1"/>
  <c r="AK699" i="1"/>
  <c r="AV699" i="1" s="1"/>
  <c r="AX699" i="1" s="1"/>
  <c r="AK700" i="1"/>
  <c r="AV700" i="1" s="1"/>
  <c r="AX700" i="1" s="1"/>
  <c r="AK701" i="1"/>
  <c r="AV701" i="1" s="1"/>
  <c r="AX701" i="1" s="1"/>
  <c r="AK702" i="1"/>
  <c r="AV702" i="1" s="1"/>
  <c r="AX702" i="1" s="1"/>
  <c r="AK704" i="1"/>
  <c r="AV704" i="1" s="1"/>
  <c r="AX704" i="1" s="1"/>
  <c r="AK705" i="1"/>
  <c r="AV705" i="1" s="1"/>
  <c r="AX705" i="1" s="1"/>
  <c r="AK706" i="1"/>
  <c r="AV706" i="1" s="1"/>
  <c r="AX706" i="1" s="1"/>
  <c r="AK707" i="1"/>
  <c r="AV707" i="1" s="1"/>
  <c r="AX707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20" i="1"/>
  <c r="AV720" i="1" s="1"/>
  <c r="AX720" i="1" s="1"/>
  <c r="AK721" i="1"/>
  <c r="AV721" i="1" s="1"/>
  <c r="AX721" i="1" s="1"/>
  <c r="AK722" i="1"/>
  <c r="AV722" i="1" s="1"/>
  <c r="AX722" i="1" s="1"/>
  <c r="AK723" i="1"/>
  <c r="AV723" i="1" s="1"/>
  <c r="AX723" i="1" s="1"/>
  <c r="AK724" i="1"/>
  <c r="AV724" i="1" s="1"/>
  <c r="AX724" i="1" s="1"/>
  <c r="AK725" i="1"/>
  <c r="AV725" i="1" s="1"/>
  <c r="AX725" i="1" s="1"/>
  <c r="AK726" i="1"/>
  <c r="AV726" i="1" s="1"/>
  <c r="AX726" i="1" s="1"/>
  <c r="AK728" i="1"/>
  <c r="AV728" i="1" s="1"/>
  <c r="AX728" i="1" s="1"/>
  <c r="AK730" i="1"/>
  <c r="AV730" i="1" s="1"/>
  <c r="AX730" i="1" s="1"/>
  <c r="AK731" i="1"/>
  <c r="AV731" i="1" s="1"/>
  <c r="AX731" i="1" s="1"/>
  <c r="AK732" i="1"/>
  <c r="AV732" i="1" s="1"/>
  <c r="AX732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38" i="1"/>
  <c r="AV738" i="1" s="1"/>
  <c r="AX738" i="1" s="1"/>
  <c r="AK739" i="1"/>
  <c r="AV739" i="1" s="1"/>
  <c r="AX739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M524" i="1"/>
  <c r="AM525" i="1"/>
  <c r="AM526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J5" i="1"/>
  <c r="A6" i="1"/>
  <c r="D5" i="1"/>
  <c r="AI743" i="1" l="1"/>
  <c r="AK743" i="1"/>
  <c r="AV743" i="1" s="1"/>
  <c r="AX743" i="1" s="1"/>
  <c r="AI735" i="1"/>
  <c r="AK735" i="1"/>
  <c r="AV735" i="1" s="1"/>
  <c r="AX735" i="1" s="1"/>
  <c r="AI729" i="1"/>
  <c r="AK729" i="1"/>
  <c r="AV729" i="1" s="1"/>
  <c r="AX729" i="1" s="1"/>
  <c r="AI727" i="1"/>
  <c r="AK727" i="1"/>
  <c r="AV727" i="1" s="1"/>
  <c r="AX727" i="1" s="1"/>
  <c r="AI719" i="1"/>
  <c r="AK719" i="1"/>
  <c r="AV719" i="1" s="1"/>
  <c r="AX719" i="1" s="1"/>
  <c r="AI711" i="1"/>
  <c r="AK711" i="1"/>
  <c r="AV711" i="1" s="1"/>
  <c r="AX711" i="1" s="1"/>
  <c r="AI703" i="1"/>
  <c r="AK703" i="1"/>
  <c r="AV703" i="1" s="1"/>
  <c r="AX703" i="1" s="1"/>
  <c r="AI697" i="1"/>
  <c r="AK697" i="1"/>
  <c r="AV697" i="1" s="1"/>
  <c r="AX697" i="1" s="1"/>
  <c r="AI695" i="1"/>
  <c r="AK695" i="1"/>
  <c r="AV695" i="1" s="1"/>
  <c r="AX695" i="1" s="1"/>
  <c r="AI689" i="1"/>
  <c r="AK689" i="1"/>
  <c r="AV689" i="1" s="1"/>
  <c r="AX689" i="1" s="1"/>
  <c r="AI687" i="1"/>
  <c r="AK687" i="1"/>
  <c r="AV687" i="1" s="1"/>
  <c r="AX687" i="1" s="1"/>
  <c r="AI681" i="1"/>
  <c r="AK681" i="1"/>
  <c r="AV681" i="1" s="1"/>
  <c r="AX681" i="1" s="1"/>
  <c r="AI679" i="1"/>
  <c r="AK679" i="1"/>
  <c r="AV679" i="1" s="1"/>
  <c r="AX679" i="1" s="1"/>
  <c r="AI671" i="1"/>
  <c r="AK671" i="1"/>
  <c r="AV671" i="1" s="1"/>
  <c r="AX671" i="1" s="1"/>
  <c r="AI665" i="1"/>
  <c r="AK665" i="1"/>
  <c r="AV665" i="1" s="1"/>
  <c r="AX665" i="1" s="1"/>
  <c r="AI663" i="1"/>
  <c r="AK663" i="1"/>
  <c r="AV663" i="1" s="1"/>
  <c r="AX663" i="1" s="1"/>
  <c r="AI657" i="1"/>
  <c r="AK657" i="1"/>
  <c r="AV657" i="1" s="1"/>
  <c r="AX657" i="1" s="1"/>
  <c r="AI655" i="1"/>
  <c r="AK655" i="1"/>
  <c r="AV655" i="1" s="1"/>
  <c r="AX655" i="1" s="1"/>
  <c r="AI647" i="1"/>
  <c r="AK647" i="1"/>
  <c r="AV647" i="1" s="1"/>
  <c r="AX647" i="1" s="1"/>
  <c r="AI641" i="1"/>
  <c r="AK641" i="1"/>
  <c r="AV641" i="1" s="1"/>
  <c r="AX641" i="1" s="1"/>
  <c r="AI639" i="1"/>
  <c r="AK639" i="1"/>
  <c r="AV639" i="1" s="1"/>
  <c r="AX639" i="1" s="1"/>
  <c r="AI635" i="1"/>
  <c r="AK635" i="1"/>
  <c r="AV635" i="1" s="1"/>
  <c r="AX635" i="1" s="1"/>
  <c r="AI633" i="1"/>
  <c r="AK633" i="1"/>
  <c r="AV633" i="1" s="1"/>
  <c r="AX633" i="1" s="1"/>
  <c r="AI631" i="1"/>
  <c r="AK631" i="1"/>
  <c r="AV631" i="1" s="1"/>
  <c r="AX631" i="1" s="1"/>
  <c r="AI625" i="1"/>
  <c r="AK625" i="1"/>
  <c r="AV625" i="1" s="1"/>
  <c r="AX625" i="1" s="1"/>
  <c r="AI623" i="1"/>
  <c r="AK623" i="1"/>
  <c r="AV623" i="1" s="1"/>
  <c r="AX623" i="1" s="1"/>
  <c r="AI617" i="1"/>
  <c r="AK617" i="1"/>
  <c r="AV617" i="1" s="1"/>
  <c r="AX617" i="1" s="1"/>
  <c r="AI615" i="1"/>
  <c r="AK615" i="1"/>
  <c r="AV615" i="1" s="1"/>
  <c r="AX615" i="1" s="1"/>
  <c r="AI607" i="1"/>
  <c r="AK607" i="1"/>
  <c r="AV607" i="1" s="1"/>
  <c r="AX607" i="1" s="1"/>
  <c r="AI601" i="1"/>
  <c r="AK601" i="1"/>
  <c r="AV601" i="1" s="1"/>
  <c r="AX601" i="1" s="1"/>
  <c r="AI599" i="1"/>
  <c r="AK599" i="1"/>
  <c r="AV599" i="1" s="1"/>
  <c r="AX599" i="1" s="1"/>
  <c r="AI593" i="1"/>
  <c r="AK593" i="1"/>
  <c r="AV593" i="1" s="1"/>
  <c r="AX593" i="1" s="1"/>
  <c r="AI591" i="1"/>
  <c r="AK591" i="1"/>
  <c r="AV591" i="1" s="1"/>
  <c r="AX591" i="1" s="1"/>
  <c r="AI585" i="1"/>
  <c r="AK585" i="1"/>
  <c r="AV585" i="1" s="1"/>
  <c r="AX585" i="1" s="1"/>
  <c r="AI583" i="1"/>
  <c r="AK583" i="1"/>
  <c r="AV583" i="1" s="1"/>
  <c r="AX583" i="1" s="1"/>
  <c r="AI577" i="1"/>
  <c r="AK577" i="1"/>
  <c r="AV577" i="1" s="1"/>
  <c r="AX577" i="1" s="1"/>
  <c r="AI575" i="1"/>
  <c r="AK575" i="1"/>
  <c r="AV575" i="1" s="1"/>
  <c r="AX575" i="1" s="1"/>
  <c r="AI569" i="1"/>
  <c r="AK569" i="1"/>
  <c r="AV569" i="1" s="1"/>
  <c r="AX569" i="1" s="1"/>
  <c r="AI567" i="1"/>
  <c r="AK567" i="1"/>
  <c r="AV567" i="1" s="1"/>
  <c r="AX567" i="1" s="1"/>
  <c r="AI561" i="1"/>
  <c r="AK561" i="1"/>
  <c r="AV561" i="1" s="1"/>
  <c r="AX561" i="1" s="1"/>
  <c r="AI559" i="1"/>
  <c r="AK559" i="1"/>
  <c r="AV559" i="1" s="1"/>
  <c r="AX559" i="1" s="1"/>
  <c r="AI553" i="1"/>
  <c r="AK553" i="1"/>
  <c r="AV553" i="1" s="1"/>
  <c r="AX553" i="1" s="1"/>
  <c r="AI551" i="1"/>
  <c r="AK551" i="1"/>
  <c r="AV551" i="1" s="1"/>
  <c r="AX551" i="1" s="1"/>
  <c r="AI543" i="1"/>
  <c r="AK543" i="1"/>
  <c r="AV543" i="1" s="1"/>
  <c r="AX543" i="1" s="1"/>
  <c r="AI535" i="1"/>
  <c r="AK535" i="1"/>
  <c r="AV535" i="1" s="1"/>
  <c r="AX535" i="1" s="1"/>
  <c r="AI564" i="1"/>
  <c r="AK564" i="1"/>
  <c r="AV564" i="1" s="1"/>
  <c r="AX564" i="1" s="1"/>
  <c r="AI560" i="1"/>
  <c r="AK560" i="1"/>
  <c r="AV560" i="1" s="1"/>
  <c r="AX560" i="1" s="1"/>
  <c r="AI556" i="1"/>
  <c r="AK556" i="1"/>
  <c r="AV556" i="1" s="1"/>
  <c r="AX556" i="1" s="1"/>
  <c r="AI552" i="1"/>
  <c r="AK552" i="1"/>
  <c r="AV552" i="1" s="1"/>
  <c r="AX552" i="1" s="1"/>
  <c r="AI544" i="1"/>
  <c r="AK544" i="1"/>
  <c r="AV544" i="1" s="1"/>
  <c r="AX544" i="1" s="1"/>
  <c r="AI540" i="1"/>
  <c r="AK540" i="1"/>
  <c r="AV540" i="1" s="1"/>
  <c r="AX540" i="1" s="1"/>
  <c r="AI536" i="1"/>
  <c r="AK536" i="1"/>
  <c r="AV536" i="1" s="1"/>
  <c r="AX536" i="1" s="1"/>
  <c r="AI532" i="1"/>
  <c r="AK532" i="1"/>
  <c r="AV532" i="1" s="1"/>
  <c r="AX532" i="1" s="1"/>
  <c r="AI528" i="1"/>
  <c r="AK528" i="1"/>
  <c r="AV528" i="1" s="1"/>
  <c r="AX528" i="1" s="1"/>
  <c r="AE744" i="1"/>
  <c r="AI744" i="1"/>
  <c r="AE742" i="1"/>
  <c r="AI742" i="1"/>
  <c r="AE740" i="1"/>
  <c r="AI740" i="1"/>
  <c r="AE738" i="1"/>
  <c r="AI738" i="1"/>
  <c r="AE736" i="1"/>
  <c r="AI736" i="1"/>
  <c r="AE734" i="1"/>
  <c r="AI734" i="1"/>
  <c r="AE732" i="1"/>
  <c r="AI732" i="1"/>
  <c r="AE730" i="1"/>
  <c r="AI730" i="1"/>
  <c r="AE728" i="1"/>
  <c r="AI728" i="1"/>
  <c r="AE726" i="1"/>
  <c r="AI726" i="1"/>
  <c r="AE724" i="1"/>
  <c r="AI724" i="1"/>
  <c r="AE722" i="1"/>
  <c r="AI722" i="1"/>
  <c r="AE720" i="1"/>
  <c r="AI720" i="1"/>
  <c r="AE718" i="1"/>
  <c r="AI718" i="1"/>
  <c r="AE716" i="1"/>
  <c r="AI716" i="1"/>
  <c r="AE714" i="1"/>
  <c r="AI714" i="1"/>
  <c r="AE712" i="1"/>
  <c r="AI712" i="1"/>
  <c r="AE710" i="1"/>
  <c r="AI710" i="1"/>
  <c r="AE708" i="1"/>
  <c r="AI708" i="1"/>
  <c r="AE706" i="1"/>
  <c r="AI706" i="1"/>
  <c r="AE704" i="1"/>
  <c r="AI704" i="1"/>
  <c r="AE702" i="1"/>
  <c r="AI702" i="1"/>
  <c r="AE700" i="1"/>
  <c r="AI700" i="1"/>
  <c r="AE698" i="1"/>
  <c r="AI698" i="1"/>
  <c r="AE696" i="1"/>
  <c r="AI696" i="1"/>
  <c r="AE694" i="1"/>
  <c r="AI694" i="1"/>
  <c r="AE692" i="1"/>
  <c r="AI692" i="1"/>
  <c r="AE690" i="1"/>
  <c r="AI690" i="1"/>
  <c r="AE688" i="1"/>
  <c r="AI688" i="1"/>
  <c r="AE686" i="1"/>
  <c r="AI686" i="1"/>
  <c r="AE684" i="1"/>
  <c r="AI684" i="1"/>
  <c r="AE682" i="1"/>
  <c r="AI682" i="1"/>
  <c r="AE680" i="1"/>
  <c r="AI680" i="1"/>
  <c r="AE678" i="1"/>
  <c r="AI678" i="1"/>
  <c r="AE676" i="1"/>
  <c r="AI676" i="1"/>
  <c r="AE674" i="1"/>
  <c r="AI674" i="1"/>
  <c r="AE672" i="1"/>
  <c r="AI672" i="1"/>
  <c r="AE670" i="1"/>
  <c r="AI670" i="1"/>
  <c r="AE668" i="1"/>
  <c r="AI668" i="1"/>
  <c r="AE666" i="1"/>
  <c r="AI666" i="1"/>
  <c r="AE664" i="1"/>
  <c r="AI664" i="1"/>
  <c r="AE662" i="1"/>
  <c r="AI662" i="1"/>
  <c r="AE660" i="1"/>
  <c r="AI660" i="1"/>
  <c r="AE658" i="1"/>
  <c r="AI658" i="1"/>
  <c r="AE656" i="1"/>
  <c r="AI656" i="1"/>
  <c r="AE654" i="1"/>
  <c r="AI654" i="1"/>
  <c r="AE652" i="1"/>
  <c r="AI652" i="1"/>
  <c r="AE650" i="1"/>
  <c r="AI650" i="1"/>
  <c r="AE648" i="1"/>
  <c r="AI648" i="1"/>
  <c r="AE646" i="1"/>
  <c r="AI646" i="1"/>
  <c r="AE644" i="1"/>
  <c r="AI644" i="1"/>
  <c r="AE642" i="1"/>
  <c r="AI642" i="1"/>
  <c r="AE640" i="1"/>
  <c r="AI640" i="1"/>
  <c r="AE638" i="1"/>
  <c r="AI638" i="1"/>
  <c r="AE636" i="1"/>
  <c r="AI636" i="1"/>
  <c r="AE634" i="1"/>
  <c r="AI634" i="1"/>
  <c r="AE632" i="1"/>
  <c r="AI632" i="1"/>
  <c r="AE630" i="1"/>
  <c r="AI630" i="1"/>
  <c r="AE628" i="1"/>
  <c r="AI628" i="1"/>
  <c r="AE626" i="1"/>
  <c r="AI626" i="1"/>
  <c r="AE624" i="1"/>
  <c r="AI624" i="1"/>
  <c r="AE622" i="1"/>
  <c r="AI622" i="1"/>
  <c r="AE620" i="1"/>
  <c r="AI620" i="1"/>
  <c r="AE618" i="1"/>
  <c r="AI618" i="1"/>
  <c r="AE616" i="1"/>
  <c r="AI616" i="1"/>
  <c r="AE614" i="1"/>
  <c r="AI614" i="1"/>
  <c r="AE612" i="1"/>
  <c r="AI612" i="1"/>
  <c r="AE610" i="1"/>
  <c r="AI610" i="1"/>
  <c r="AE608" i="1"/>
  <c r="AI608" i="1"/>
  <c r="AE606" i="1"/>
  <c r="AI606" i="1"/>
  <c r="AE604" i="1"/>
  <c r="AI604" i="1"/>
  <c r="AE602" i="1"/>
  <c r="AI602" i="1"/>
  <c r="AE600" i="1"/>
  <c r="AI600" i="1"/>
  <c r="AE598" i="1"/>
  <c r="AI598" i="1"/>
  <c r="AE596" i="1"/>
  <c r="AI596" i="1"/>
  <c r="AE594" i="1"/>
  <c r="AI594" i="1"/>
  <c r="AE592" i="1"/>
  <c r="AI592" i="1"/>
  <c r="AE590" i="1"/>
  <c r="AI590" i="1"/>
  <c r="AE588" i="1"/>
  <c r="AI588" i="1"/>
  <c r="AE586" i="1"/>
  <c r="AI586" i="1"/>
  <c r="AE584" i="1"/>
  <c r="AI584" i="1"/>
  <c r="AE582" i="1"/>
  <c r="AI582" i="1"/>
  <c r="AE580" i="1"/>
  <c r="AI580" i="1"/>
  <c r="AE578" i="1"/>
  <c r="AI578" i="1"/>
  <c r="AE576" i="1"/>
  <c r="AI576" i="1"/>
  <c r="AE574" i="1"/>
  <c r="AI574" i="1"/>
  <c r="AE572" i="1"/>
  <c r="AI572" i="1"/>
  <c r="AE570" i="1"/>
  <c r="AI570" i="1"/>
  <c r="AE568" i="1"/>
  <c r="AI568" i="1"/>
  <c r="AE566" i="1"/>
  <c r="AI566" i="1"/>
  <c r="AE562" i="1"/>
  <c r="AI562" i="1"/>
  <c r="AE558" i="1"/>
  <c r="AI558" i="1"/>
  <c r="AE554" i="1"/>
  <c r="AI554" i="1"/>
  <c r="AE550" i="1"/>
  <c r="AI550" i="1"/>
  <c r="AE548" i="1"/>
  <c r="AI548" i="1"/>
  <c r="AE546" i="1"/>
  <c r="AI546" i="1"/>
  <c r="AE542" i="1"/>
  <c r="AI542" i="1"/>
  <c r="AE538" i="1"/>
  <c r="AI538" i="1"/>
  <c r="AE534" i="1"/>
  <c r="AI534" i="1"/>
  <c r="AE530" i="1"/>
  <c r="AI530" i="1"/>
  <c r="AE525" i="1"/>
  <c r="AI525" i="1"/>
  <c r="AE745" i="1"/>
  <c r="AI745" i="1"/>
  <c r="AE741" i="1"/>
  <c r="AI741" i="1"/>
  <c r="AE739" i="1"/>
  <c r="AI739" i="1"/>
  <c r="AE737" i="1"/>
  <c r="AI737" i="1"/>
  <c r="AE733" i="1"/>
  <c r="AI733" i="1"/>
  <c r="AE731" i="1"/>
  <c r="AI731" i="1"/>
  <c r="AE725" i="1"/>
  <c r="AI725" i="1"/>
  <c r="AE723" i="1"/>
  <c r="AI723" i="1"/>
  <c r="AE721" i="1"/>
  <c r="AI721" i="1"/>
  <c r="AE717" i="1"/>
  <c r="AI717" i="1"/>
  <c r="AE715" i="1"/>
  <c r="AI715" i="1"/>
  <c r="AE713" i="1"/>
  <c r="AI713" i="1"/>
  <c r="AE709" i="1"/>
  <c r="AI709" i="1"/>
  <c r="AE707" i="1"/>
  <c r="AI707" i="1"/>
  <c r="AE705" i="1"/>
  <c r="AI705" i="1"/>
  <c r="AE701" i="1"/>
  <c r="AI701" i="1"/>
  <c r="AE699" i="1"/>
  <c r="AI699" i="1"/>
  <c r="AE693" i="1"/>
  <c r="AI693" i="1"/>
  <c r="AE691" i="1"/>
  <c r="AI691" i="1"/>
  <c r="AE685" i="1"/>
  <c r="AI685" i="1"/>
  <c r="AE683" i="1"/>
  <c r="AI683" i="1"/>
  <c r="AE677" i="1"/>
  <c r="AI677" i="1"/>
  <c r="AE675" i="1"/>
  <c r="AI675" i="1"/>
  <c r="AE673" i="1"/>
  <c r="AI673" i="1"/>
  <c r="AE669" i="1"/>
  <c r="AI669" i="1"/>
  <c r="AE667" i="1"/>
  <c r="AI667" i="1"/>
  <c r="AE661" i="1"/>
  <c r="AI661" i="1"/>
  <c r="AE659" i="1"/>
  <c r="AI659" i="1"/>
  <c r="AE653" i="1"/>
  <c r="AI653" i="1"/>
  <c r="AE651" i="1"/>
  <c r="AI651" i="1"/>
  <c r="AE649" i="1"/>
  <c r="AI649" i="1"/>
  <c r="AE645" i="1"/>
  <c r="AI645" i="1"/>
  <c r="AE643" i="1"/>
  <c r="AI643" i="1"/>
  <c r="AE637" i="1"/>
  <c r="AI637" i="1"/>
  <c r="AE629" i="1"/>
  <c r="AI629" i="1"/>
  <c r="AE627" i="1"/>
  <c r="AI627" i="1"/>
  <c r="AE621" i="1"/>
  <c r="AI621" i="1"/>
  <c r="AE619" i="1"/>
  <c r="AI619" i="1"/>
  <c r="AE613" i="1"/>
  <c r="AI613" i="1"/>
  <c r="AE611" i="1"/>
  <c r="AI611" i="1"/>
  <c r="AE609" i="1"/>
  <c r="AI609" i="1"/>
  <c r="AE605" i="1"/>
  <c r="AI605" i="1"/>
  <c r="AE603" i="1"/>
  <c r="AI603" i="1"/>
  <c r="AE597" i="1"/>
  <c r="AI597" i="1"/>
  <c r="AE595" i="1"/>
  <c r="AI595" i="1"/>
  <c r="AE589" i="1"/>
  <c r="AI589" i="1"/>
  <c r="AE587" i="1"/>
  <c r="AI587" i="1"/>
  <c r="AE581" i="1"/>
  <c r="AI581" i="1"/>
  <c r="AE579" i="1"/>
  <c r="AI579" i="1"/>
  <c r="AE573" i="1"/>
  <c r="AI573" i="1"/>
  <c r="AE571" i="1"/>
  <c r="AI571" i="1"/>
  <c r="AE565" i="1"/>
  <c r="AI565" i="1"/>
  <c r="AE563" i="1"/>
  <c r="AI563" i="1"/>
  <c r="AE557" i="1"/>
  <c r="AI557" i="1"/>
  <c r="AE555" i="1"/>
  <c r="AI555" i="1"/>
  <c r="AE549" i="1"/>
  <c r="AI549" i="1"/>
  <c r="AE547" i="1"/>
  <c r="AI547" i="1"/>
  <c r="AE545" i="1"/>
  <c r="AI545" i="1"/>
  <c r="AE541" i="1"/>
  <c r="AI541" i="1"/>
  <c r="AE539" i="1"/>
  <c r="AI539" i="1"/>
  <c r="AE537" i="1"/>
  <c r="AI537" i="1"/>
  <c r="AE533" i="1"/>
  <c r="AI533" i="1"/>
  <c r="AE531" i="1"/>
  <c r="AI531" i="1"/>
  <c r="AF743" i="1"/>
  <c r="AE743" i="1"/>
  <c r="AF735" i="1"/>
  <c r="AE735" i="1"/>
  <c r="AF729" i="1"/>
  <c r="AE729" i="1"/>
  <c r="AF727" i="1"/>
  <c r="AE727" i="1"/>
  <c r="AF719" i="1"/>
  <c r="AE719" i="1"/>
  <c r="AF711" i="1"/>
  <c r="AE711" i="1"/>
  <c r="AF703" i="1"/>
  <c r="AE703" i="1"/>
  <c r="AF697" i="1"/>
  <c r="AE697" i="1"/>
  <c r="AF695" i="1"/>
  <c r="AE695" i="1"/>
  <c r="AF689" i="1"/>
  <c r="AE689" i="1"/>
  <c r="AF687" i="1"/>
  <c r="AE687" i="1"/>
  <c r="AF681" i="1"/>
  <c r="AE681" i="1"/>
  <c r="AF679" i="1"/>
  <c r="AE679" i="1"/>
  <c r="AF671" i="1"/>
  <c r="AE671" i="1"/>
  <c r="AF665" i="1"/>
  <c r="AE665" i="1"/>
  <c r="AF663" i="1"/>
  <c r="AE663" i="1"/>
  <c r="AF657" i="1"/>
  <c r="AE657" i="1"/>
  <c r="AF655" i="1"/>
  <c r="AE655" i="1"/>
  <c r="AF647" i="1"/>
  <c r="AE647" i="1"/>
  <c r="AF641" i="1"/>
  <c r="AE641" i="1"/>
  <c r="AF639" i="1"/>
  <c r="AE639" i="1"/>
  <c r="AF635" i="1"/>
  <c r="AE635" i="1"/>
  <c r="AF633" i="1"/>
  <c r="AE633" i="1"/>
  <c r="AF631" i="1"/>
  <c r="AE631" i="1"/>
  <c r="AF625" i="1"/>
  <c r="AE625" i="1"/>
  <c r="AF623" i="1"/>
  <c r="AE623" i="1"/>
  <c r="AF617" i="1"/>
  <c r="AE617" i="1"/>
  <c r="AF615" i="1"/>
  <c r="AE615" i="1"/>
  <c r="AF607" i="1"/>
  <c r="AE607" i="1"/>
  <c r="AF601" i="1"/>
  <c r="AE601" i="1"/>
  <c r="AF599" i="1"/>
  <c r="AE599" i="1"/>
  <c r="AF593" i="1"/>
  <c r="AE593" i="1"/>
  <c r="AF591" i="1"/>
  <c r="AE591" i="1"/>
  <c r="AF585" i="1"/>
  <c r="AE585" i="1"/>
  <c r="AF583" i="1"/>
  <c r="AE583" i="1"/>
  <c r="AF577" i="1"/>
  <c r="AE577" i="1"/>
  <c r="AF575" i="1"/>
  <c r="AE575" i="1"/>
  <c r="AF569" i="1"/>
  <c r="AE569" i="1"/>
  <c r="AF567" i="1"/>
  <c r="AE567" i="1"/>
  <c r="AF561" i="1"/>
  <c r="AE561" i="1"/>
  <c r="AF559" i="1"/>
  <c r="AE559" i="1"/>
  <c r="AF553" i="1"/>
  <c r="AE553" i="1"/>
  <c r="AF551" i="1"/>
  <c r="AE551" i="1"/>
  <c r="AF543" i="1"/>
  <c r="AE543" i="1"/>
  <c r="AF535" i="1"/>
  <c r="AE535" i="1"/>
  <c r="AF564" i="1"/>
  <c r="AE564" i="1"/>
  <c r="AF560" i="1"/>
  <c r="AE560" i="1"/>
  <c r="AF556" i="1"/>
  <c r="AE556" i="1"/>
  <c r="AF552" i="1"/>
  <c r="AE552" i="1"/>
  <c r="AF544" i="1"/>
  <c r="AE544" i="1"/>
  <c r="AF540" i="1"/>
  <c r="AE540" i="1"/>
  <c r="AF536" i="1"/>
  <c r="AE536" i="1"/>
  <c r="AF532" i="1"/>
  <c r="AE532" i="1"/>
  <c r="AF528" i="1"/>
  <c r="AE528" i="1"/>
  <c r="AF744" i="1"/>
  <c r="AF742" i="1"/>
  <c r="AF740" i="1"/>
  <c r="AF738" i="1"/>
  <c r="AF736" i="1"/>
  <c r="AF734" i="1"/>
  <c r="AF732" i="1"/>
  <c r="AF730" i="1"/>
  <c r="AF728" i="1"/>
  <c r="AF726" i="1"/>
  <c r="AF724" i="1"/>
  <c r="AF722" i="1"/>
  <c r="AF720" i="1"/>
  <c r="AF718" i="1"/>
  <c r="AF716" i="1"/>
  <c r="AF714" i="1"/>
  <c r="AF712" i="1"/>
  <c r="AF710" i="1"/>
  <c r="AF708" i="1"/>
  <c r="AF706" i="1"/>
  <c r="AF704" i="1"/>
  <c r="AF702" i="1"/>
  <c r="AF700" i="1"/>
  <c r="AF698" i="1"/>
  <c r="AF696" i="1"/>
  <c r="AF694" i="1"/>
  <c r="AF692" i="1"/>
  <c r="AF690" i="1"/>
  <c r="AF688" i="1"/>
  <c r="AF686" i="1"/>
  <c r="AF684" i="1"/>
  <c r="AF682" i="1"/>
  <c r="AF680" i="1"/>
  <c r="AF678" i="1"/>
  <c r="AF676" i="1"/>
  <c r="AF674" i="1"/>
  <c r="AF672" i="1"/>
  <c r="AF670" i="1"/>
  <c r="AF668" i="1"/>
  <c r="AF666" i="1"/>
  <c r="AF664" i="1"/>
  <c r="AF662" i="1"/>
  <c r="AF660" i="1"/>
  <c r="AF658" i="1"/>
  <c r="AF656" i="1"/>
  <c r="AF654" i="1"/>
  <c r="AF652" i="1"/>
  <c r="AF650" i="1"/>
  <c r="AF648" i="1"/>
  <c r="AF646" i="1"/>
  <c r="AF644" i="1"/>
  <c r="AF642" i="1"/>
  <c r="AF640" i="1"/>
  <c r="AF638" i="1"/>
  <c r="AF636" i="1"/>
  <c r="AF634" i="1"/>
  <c r="AF632" i="1"/>
  <c r="AF630" i="1"/>
  <c r="AF628" i="1"/>
  <c r="AF626" i="1"/>
  <c r="AF624" i="1"/>
  <c r="AF622" i="1"/>
  <c r="AF620" i="1"/>
  <c r="AF618" i="1"/>
  <c r="AF616" i="1"/>
  <c r="AF614" i="1"/>
  <c r="AF612" i="1"/>
  <c r="AF610" i="1"/>
  <c r="AF608" i="1"/>
  <c r="AF606" i="1"/>
  <c r="AF604" i="1"/>
  <c r="AF602" i="1"/>
  <c r="AF600" i="1"/>
  <c r="AF598" i="1"/>
  <c r="AF596" i="1"/>
  <c r="AF594" i="1"/>
  <c r="AF592" i="1"/>
  <c r="AF590" i="1"/>
  <c r="AF588" i="1"/>
  <c r="AF586" i="1"/>
  <c r="AF584" i="1"/>
  <c r="AF582" i="1"/>
  <c r="AF580" i="1"/>
  <c r="AF578" i="1"/>
  <c r="AF576" i="1"/>
  <c r="AF574" i="1"/>
  <c r="AF572" i="1"/>
  <c r="AF570" i="1"/>
  <c r="AF568" i="1"/>
  <c r="AF566" i="1"/>
  <c r="AF562" i="1"/>
  <c r="AF558" i="1"/>
  <c r="AF554" i="1"/>
  <c r="AF550" i="1"/>
  <c r="AF548" i="1"/>
  <c r="AF546" i="1"/>
  <c r="AF542" i="1"/>
  <c r="AF538" i="1"/>
  <c r="AF534" i="1"/>
  <c r="AF530" i="1"/>
  <c r="AF525" i="1"/>
  <c r="AF745" i="1"/>
  <c r="AF741" i="1"/>
  <c r="AF739" i="1"/>
  <c r="AF737" i="1"/>
  <c r="AF733" i="1"/>
  <c r="AF731" i="1"/>
  <c r="AF725" i="1"/>
  <c r="AF723" i="1"/>
  <c r="AF721" i="1"/>
  <c r="AF717" i="1"/>
  <c r="AF715" i="1"/>
  <c r="AF713" i="1"/>
  <c r="AF709" i="1"/>
  <c r="AF707" i="1"/>
  <c r="AF705" i="1"/>
  <c r="AF701" i="1"/>
  <c r="AF699" i="1"/>
  <c r="AF693" i="1"/>
  <c r="AF691" i="1"/>
  <c r="AF685" i="1"/>
  <c r="AF683" i="1"/>
  <c r="AF677" i="1"/>
  <c r="AF675" i="1"/>
  <c r="AF673" i="1"/>
  <c r="AF669" i="1"/>
  <c r="AF667" i="1"/>
  <c r="AF661" i="1"/>
  <c r="AF659" i="1"/>
  <c r="AF653" i="1"/>
  <c r="AF651" i="1"/>
  <c r="AF649" i="1"/>
  <c r="AF645" i="1"/>
  <c r="AF643" i="1"/>
  <c r="AF637" i="1"/>
  <c r="AF629" i="1"/>
  <c r="AF627" i="1"/>
  <c r="AF621" i="1"/>
  <c r="AF619" i="1"/>
  <c r="AF613" i="1"/>
  <c r="AF611" i="1"/>
  <c r="AF609" i="1"/>
  <c r="AF605" i="1"/>
  <c r="AF603" i="1"/>
  <c r="AF597" i="1"/>
  <c r="AF595" i="1"/>
  <c r="AF589" i="1"/>
  <c r="AF587" i="1"/>
  <c r="AF581" i="1"/>
  <c r="AF579" i="1"/>
  <c r="AF573" i="1"/>
  <c r="AF571" i="1"/>
  <c r="AF565" i="1"/>
  <c r="AF563" i="1"/>
  <c r="AF557" i="1"/>
  <c r="AF555" i="1"/>
  <c r="AF549" i="1"/>
  <c r="AF547" i="1"/>
  <c r="AF545" i="1"/>
  <c r="AF541" i="1"/>
  <c r="AF539" i="1"/>
  <c r="AF537" i="1"/>
  <c r="AF533" i="1"/>
  <c r="AF531" i="1"/>
  <c r="G1" i="14"/>
  <c r="A7" i="1"/>
  <c r="A8" i="1"/>
  <c r="AI5" i="1"/>
  <c r="G1" i="13" l="1"/>
  <c r="G13" i="3"/>
  <c r="AJ43" i="1"/>
  <c r="D43" i="1"/>
  <c r="AJ12" i="1"/>
  <c r="D12" i="1"/>
  <c r="A9" i="1"/>
  <c r="A10" i="1" s="1"/>
  <c r="AU43" i="1" l="1"/>
  <c r="AW43" i="1"/>
  <c r="F1" i="13"/>
  <c r="AI12" i="1"/>
  <c r="AJ17" i="1"/>
  <c r="D17" i="1"/>
  <c r="A11" i="1"/>
  <c r="AI17" i="1" l="1"/>
  <c r="A12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3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5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18" i="1"/>
  <c r="D62" i="1" l="1"/>
  <c r="AW62" i="1" s="1"/>
  <c r="AJ62" i="1"/>
  <c r="A19" i="1"/>
  <c r="AJ64" i="1" l="1"/>
  <c r="D64" i="1"/>
  <c r="AW64" i="1" s="1"/>
  <c r="D59" i="1"/>
  <c r="A20" i="1"/>
  <c r="B7" i="7" l="1"/>
  <c r="AJ59" i="1"/>
  <c r="A21" i="1"/>
  <c r="A22" i="1"/>
  <c r="A23" i="1"/>
  <c r="D23" i="1"/>
  <c r="AJ23" i="1"/>
  <c r="A24" i="1"/>
  <c r="A25" i="1"/>
  <c r="A26" i="1"/>
  <c r="D26" i="1"/>
  <c r="AJ26" i="1"/>
  <c r="A27" i="1"/>
  <c r="D27" i="1"/>
  <c r="AJ27" i="1"/>
  <c r="A28" i="1"/>
  <c r="AJ28" i="1"/>
  <c r="D28" i="1"/>
  <c r="A29" i="1"/>
  <c r="A30" i="1"/>
  <c r="AJ30" i="1"/>
  <c r="A31" i="1"/>
  <c r="AU28" i="1" l="1"/>
  <c r="AU27" i="1"/>
  <c r="D7" i="7"/>
  <c r="E7" i="7"/>
  <c r="F7" i="7"/>
  <c r="C7" i="7"/>
  <c r="G7" i="7"/>
  <c r="H7" i="7"/>
  <c r="AI23" i="1"/>
  <c r="A32" i="1"/>
  <c r="D30" i="1"/>
  <c r="AU30" i="1" l="1"/>
  <c r="J7" i="7"/>
  <c r="I7" i="7"/>
  <c r="A33" i="1"/>
  <c r="AJ32" i="1"/>
  <c r="D32" i="1"/>
  <c r="K7" i="7" l="1"/>
  <c r="L7" i="7" s="1"/>
  <c r="M7" i="7" s="1"/>
  <c r="A34" i="1"/>
  <c r="B5" i="6" l="1"/>
  <c r="B6" i="6"/>
  <c r="D69" i="1"/>
  <c r="AJ69" i="1"/>
  <c r="A35" i="1"/>
  <c r="D34" i="1"/>
  <c r="AJ34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6" i="1"/>
  <c r="D36" i="1"/>
  <c r="AJ36" i="1"/>
  <c r="A37" i="1"/>
  <c r="A38" i="1"/>
  <c r="D38" i="1"/>
  <c r="AJ38" i="1"/>
  <c r="I7" i="6" l="1"/>
  <c r="J7" i="6"/>
  <c r="F7" i="6"/>
  <c r="E7" i="6"/>
  <c r="C7" i="6"/>
  <c r="D7" i="6"/>
  <c r="G7" i="6"/>
  <c r="H7" i="6"/>
  <c r="J6" i="6"/>
  <c r="J5" i="6"/>
  <c r="I5" i="6"/>
  <c r="B6" i="7"/>
  <c r="A39" i="1"/>
  <c r="D39" i="1"/>
  <c r="AJ39" i="1"/>
  <c r="A40" i="1"/>
  <c r="D40" i="1"/>
  <c r="AJ40" i="1"/>
  <c r="A41" i="1"/>
  <c r="D41" i="1" s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A42" i="1"/>
  <c r="AJ41" i="1"/>
  <c r="AJ42" i="1"/>
  <c r="D42" i="1"/>
  <c r="K6" i="7" l="1"/>
  <c r="L6" i="7" s="1"/>
  <c r="M6" i="7" s="1"/>
  <c r="D74" i="1"/>
  <c r="AJ74" i="1"/>
  <c r="A43" i="1"/>
  <c r="A44" i="1"/>
  <c r="AJ44" i="1"/>
  <c r="A45" i="1"/>
  <c r="D44" i="1"/>
  <c r="D45" i="1"/>
  <c r="AJ45" i="1"/>
  <c r="A46" i="1"/>
  <c r="D46" i="1"/>
  <c r="AJ46" i="1"/>
  <c r="A47" i="1"/>
  <c r="AU44" i="1" l="1"/>
  <c r="AU45" i="1"/>
  <c r="B4" i="12"/>
  <c r="A48" i="1"/>
  <c r="D47" i="1"/>
  <c r="AJ47" i="1"/>
  <c r="C4" i="12" l="1"/>
  <c r="H4" i="12"/>
  <c r="F4" i="12"/>
  <c r="D4" i="12"/>
  <c r="G4" i="12"/>
  <c r="E4" i="12"/>
  <c r="A49" i="1"/>
  <c r="AJ49" i="1"/>
  <c r="A50" i="1"/>
  <c r="A51" i="1"/>
  <c r="A52" i="1" s="1"/>
  <c r="D51" i="1"/>
  <c r="A53" i="1"/>
  <c r="AJ53" i="1"/>
  <c r="D53" i="1"/>
  <c r="AJ51" i="1"/>
  <c r="J4" i="12" l="1"/>
  <c r="D49" i="1"/>
  <c r="A54" i="1"/>
  <c r="AJ54" i="1"/>
  <c r="A55" i="1"/>
  <c r="AJ55" i="1"/>
  <c r="D55" i="1"/>
  <c r="D54" i="1"/>
  <c r="I4" i="12" l="1"/>
  <c r="K4" i="12" s="1"/>
  <c r="A56" i="1"/>
  <c r="D56" i="1"/>
  <c r="A57" i="1"/>
  <c r="AJ56" i="1"/>
  <c r="AJ57" i="1"/>
  <c r="D57" i="1"/>
  <c r="AL57" i="1" l="1"/>
  <c r="L4" i="12"/>
  <c r="M4" i="12" s="1"/>
  <c r="AI57" i="1"/>
  <c r="A58" i="1"/>
  <c r="D58" i="1"/>
  <c r="A59" i="1"/>
  <c r="AJ58" i="1"/>
  <c r="A60" i="1"/>
  <c r="D60" i="1"/>
  <c r="AJ60" i="1"/>
  <c r="A61" i="1"/>
  <c r="AJ61" i="1"/>
  <c r="D61" i="1"/>
  <c r="AL61" i="1" l="1"/>
  <c r="B39" i="5"/>
  <c r="AI58" i="1"/>
  <c r="AI61" i="1"/>
  <c r="A62" i="1"/>
  <c r="I39" i="5" l="1"/>
  <c r="J39" i="5"/>
  <c r="B40" i="5"/>
  <c r="E39" i="5"/>
  <c r="F39" i="5"/>
  <c r="H39" i="5"/>
  <c r="C39" i="5"/>
  <c r="G39" i="5"/>
  <c r="D39" i="5"/>
  <c r="A63" i="1"/>
  <c r="D63" i="1" s="1"/>
  <c r="A64" i="1"/>
  <c r="AJ6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AJ65" i="1"/>
  <c r="A66" i="1"/>
  <c r="A67" i="1" s="1"/>
  <c r="D65" i="1"/>
  <c r="J42" i="5" l="1"/>
  <c r="I42" i="5"/>
  <c r="D42" i="5"/>
  <c r="C42" i="5"/>
  <c r="F42" i="5"/>
  <c r="H42" i="5"/>
  <c r="B43" i="5"/>
  <c r="E42" i="5"/>
  <c r="G42" i="5"/>
  <c r="AJ85" i="1"/>
  <c r="D85" i="1"/>
  <c r="D67" i="1"/>
  <c r="AJ67" i="1"/>
  <c r="D66" i="1"/>
  <c r="A68" i="1"/>
  <c r="AJ66" i="1"/>
  <c r="D68" i="1"/>
  <c r="AJ68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AJ70" i="1"/>
  <c r="A71" i="1"/>
  <c r="D70" i="1"/>
  <c r="D90" i="1" l="1"/>
  <c r="AJ90" i="1"/>
  <c r="D71" i="1"/>
  <c r="AJ71" i="1"/>
  <c r="A72" i="1"/>
  <c r="AU90" i="1" l="1"/>
  <c r="AW90" i="1"/>
  <c r="A73" i="1"/>
  <c r="AI71" i="1"/>
  <c r="I41" i="5" l="1"/>
  <c r="K41" i="5" s="1"/>
  <c r="L41" i="5" s="1"/>
  <c r="M41" i="5" s="1"/>
  <c r="D73" i="1"/>
  <c r="A74" i="1"/>
  <c r="AJ73" i="1"/>
  <c r="B5" i="7" l="1"/>
  <c r="A75" i="1"/>
  <c r="AJ75" i="1"/>
  <c r="A76" i="1"/>
  <c r="D75" i="1"/>
  <c r="D76" i="1"/>
  <c r="AJ76" i="1"/>
  <c r="C5" i="7" l="1"/>
  <c r="G5" i="7"/>
  <c r="D5" i="7"/>
  <c r="H5" i="7"/>
  <c r="E5" i="7"/>
  <c r="F5" i="7"/>
  <c r="A77" i="1"/>
  <c r="A78" i="1"/>
  <c r="AJ78" i="1"/>
  <c r="A79" i="1"/>
  <c r="D77" i="1"/>
  <c r="AJ77" i="1"/>
  <c r="J5" i="7" l="1"/>
  <c r="I5" i="7"/>
  <c r="AJ97" i="1"/>
  <c r="D97" i="1"/>
  <c r="D79" i="1"/>
  <c r="A80" i="1"/>
  <c r="D78" i="1"/>
  <c r="AJ79" i="1"/>
  <c r="AU97" i="1" l="1"/>
  <c r="K5" i="7"/>
  <c r="L5" i="7" s="1"/>
  <c r="M5" i="7" s="1"/>
  <c r="AJ99" i="1"/>
  <c r="D99" i="1"/>
  <c r="A81" i="1"/>
  <c r="D80" i="1"/>
  <c r="D81" i="1"/>
  <c r="AJ80" i="1"/>
  <c r="A82" i="1"/>
  <c r="AJ81" i="1"/>
  <c r="AU99" i="1" l="1"/>
  <c r="B5" i="9"/>
  <c r="AJ82" i="1"/>
  <c r="D82" i="1"/>
  <c r="A83" i="1"/>
  <c r="D83" i="1" s="1"/>
  <c r="AJ83" i="1"/>
  <c r="A84" i="1"/>
  <c r="A85" i="1" s="1"/>
  <c r="AJ84" i="1"/>
  <c r="I5" i="9" l="1"/>
  <c r="G5" i="9"/>
  <c r="D5" i="9"/>
  <c r="C5" i="9"/>
  <c r="H5" i="9"/>
  <c r="F5" i="9"/>
  <c r="J5" i="9"/>
  <c r="E5" i="9"/>
  <c r="D84" i="1"/>
  <c r="A86" i="1"/>
  <c r="AJ86" i="1"/>
  <c r="A87" i="1"/>
  <c r="D86" i="1"/>
  <c r="AJ87" i="1"/>
  <c r="D87" i="1"/>
  <c r="A88" i="1"/>
  <c r="AJ88" i="1"/>
  <c r="D88" i="1"/>
  <c r="K5" i="9" l="1"/>
  <c r="A89" i="1"/>
  <c r="D89" i="1"/>
  <c r="AJ89" i="1"/>
  <c r="A90" i="1"/>
  <c r="A91" i="1"/>
  <c r="AJ91" i="1"/>
  <c r="D91" i="1"/>
  <c r="A92" i="1"/>
  <c r="AJ92" i="1"/>
  <c r="D92" i="1"/>
  <c r="A93" i="1"/>
  <c r="L5" i="9" l="1"/>
  <c r="M5" i="9" s="1"/>
  <c r="AJ105" i="1"/>
  <c r="D105" i="1"/>
  <c r="D93" i="1"/>
  <c r="A94" i="1"/>
  <c r="AJ93" i="1"/>
  <c r="B4" i="3" l="1"/>
  <c r="A95" i="1"/>
  <c r="D95" i="1"/>
  <c r="AJ94" i="1"/>
  <c r="D94" i="1"/>
  <c r="A96" i="1"/>
  <c r="A21" i="14" l="1"/>
  <c r="A12" i="14"/>
  <c r="A9" i="14"/>
  <c r="A11" i="14"/>
  <c r="A18" i="14"/>
  <c r="A17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13" i="6"/>
  <c r="A43" i="5"/>
  <c r="A5" i="9"/>
  <c r="AJ111" i="1"/>
  <c r="D111" i="1"/>
  <c r="AJ95" i="1"/>
  <c r="AJ6" i="1"/>
  <c r="AJ96" i="1"/>
  <c r="D4" i="1"/>
  <c r="D3" i="1"/>
  <c r="AJ3" i="1"/>
  <c r="A97" i="1"/>
  <c r="AJ4" i="1"/>
  <c r="D6" i="1"/>
  <c r="D96" i="1"/>
  <c r="AM3" i="1" l="1"/>
  <c r="AM4" i="1" s="1"/>
  <c r="AM5" i="1" s="1"/>
  <c r="AM6" i="1" s="1"/>
  <c r="AK3" i="1"/>
  <c r="AL5" i="1"/>
  <c r="AI111" i="1"/>
  <c r="AJ7" i="1"/>
  <c r="A98" i="1"/>
  <c r="AK4" i="1"/>
  <c r="AI3" i="1"/>
  <c r="AI4" i="1"/>
  <c r="D7" i="1"/>
  <c r="AL7" i="1" l="1"/>
  <c r="AK5" i="1"/>
  <c r="A99" i="1"/>
  <c r="AJ98" i="1"/>
  <c r="D98" i="1"/>
  <c r="AI6" i="1"/>
  <c r="D8" i="1"/>
  <c r="AJ8" i="1"/>
  <c r="AU98" i="1" l="1"/>
  <c r="AM7" i="1"/>
  <c r="AL8" i="1"/>
  <c r="AK6" i="1"/>
  <c r="D9" i="1"/>
  <c r="AJ9" i="1"/>
  <c r="A100" i="1"/>
  <c r="AI7" i="1"/>
  <c r="AM8" i="1" l="1"/>
  <c r="AM9" i="1" s="1"/>
  <c r="AI8" i="1"/>
  <c r="AJ10" i="1"/>
  <c r="AI9" i="1"/>
  <c r="D100" i="1"/>
  <c r="AJ100" i="1"/>
  <c r="AK7" i="1"/>
  <c r="D10" i="1"/>
  <c r="A101" i="1"/>
  <c r="A102" i="1" s="1"/>
  <c r="D101" i="1"/>
  <c r="AL10" i="1" l="1"/>
  <c r="D13" i="1"/>
  <c r="AK8" i="1"/>
  <c r="A103" i="1"/>
  <c r="AJ14" i="1"/>
  <c r="D102" i="1"/>
  <c r="D11" i="1"/>
  <c r="AJ102" i="1"/>
  <c r="AJ101" i="1"/>
  <c r="AJ13" i="1"/>
  <c r="AI101" i="1"/>
  <c r="AI100" i="1"/>
  <c r="D14" i="1"/>
  <c r="AJ11" i="1"/>
  <c r="D103" i="1"/>
  <c r="AM10" i="1" l="1"/>
  <c r="AM11" i="1" s="1"/>
  <c r="AM12" i="1" s="1"/>
  <c r="AM13" i="1" s="1"/>
  <c r="AL14" i="1"/>
  <c r="AL12" i="1"/>
  <c r="AL11" i="1"/>
  <c r="D122" i="1"/>
  <c r="AJ122" i="1"/>
  <c r="AJ103" i="1"/>
  <c r="AK9" i="1"/>
  <c r="AI11" i="1"/>
  <c r="AJ15" i="1"/>
  <c r="AI13" i="1"/>
  <c r="AI14" i="1"/>
  <c r="A104" i="1"/>
  <c r="D15" i="1"/>
  <c r="AI10" i="1"/>
  <c r="D104" i="1"/>
  <c r="A105" i="1"/>
  <c r="AJ104" i="1"/>
  <c r="AM14" i="1" l="1"/>
  <c r="AL15" i="1"/>
  <c r="AJ124" i="1"/>
  <c r="AI122" i="1"/>
  <c r="D124" i="1"/>
  <c r="AK10" i="1"/>
  <c r="AJ16" i="1"/>
  <c r="D16" i="1"/>
  <c r="A106" i="1"/>
  <c r="AM15" i="1" l="1"/>
  <c r="AL17" i="1"/>
  <c r="AK12" i="1"/>
  <c r="AI124" i="1"/>
  <c r="AI16" i="1"/>
  <c r="AJ18" i="1"/>
  <c r="D106" i="1"/>
  <c r="AI15" i="1"/>
  <c r="AJ19" i="1"/>
  <c r="A107" i="1"/>
  <c r="AK11" i="1"/>
  <c r="D19" i="1"/>
  <c r="AJ106" i="1"/>
  <c r="D18" i="1"/>
  <c r="AM16" i="1" l="1"/>
  <c r="AM17" i="1" s="1"/>
  <c r="AM18" i="1" s="1"/>
  <c r="AK13" i="1"/>
  <c r="AJ126" i="1"/>
  <c r="D126" i="1"/>
  <c r="D107" i="1"/>
  <c r="AJ107" i="1"/>
  <c r="AI18" i="1"/>
  <c r="D20" i="1"/>
  <c r="A108" i="1"/>
  <c r="AJ20" i="1"/>
  <c r="AM19" i="1" l="1"/>
  <c r="AL20" i="1"/>
  <c r="AK18" i="1"/>
  <c r="D22" i="1"/>
  <c r="AJ22" i="1"/>
  <c r="AJ108" i="1"/>
  <c r="A109" i="1"/>
  <c r="AK14" i="1"/>
  <c r="D108" i="1"/>
  <c r="D21" i="1"/>
  <c r="AJ21" i="1"/>
  <c r="AI19" i="1"/>
  <c r="AM20" i="1" l="1"/>
  <c r="AL22" i="1"/>
  <c r="AK19" i="1"/>
  <c r="AI20" i="1"/>
  <c r="A110" i="1"/>
  <c r="AK15" i="1"/>
  <c r="AJ109" i="1"/>
  <c r="D109" i="1"/>
  <c r="AI108" i="1"/>
  <c r="AM21" i="1" l="1"/>
  <c r="AJ24" i="1"/>
  <c r="D24" i="1"/>
  <c r="AJ25" i="1"/>
  <c r="AK20" i="1"/>
  <c r="AI21" i="1"/>
  <c r="D25" i="1"/>
  <c r="AJ110" i="1"/>
  <c r="AK16" i="1"/>
  <c r="D110" i="1"/>
  <c r="A111" i="1"/>
  <c r="AI24" i="1" l="1"/>
  <c r="AK17" i="1"/>
  <c r="AI25" i="1"/>
  <c r="AI26" i="1"/>
  <c r="A112" i="1"/>
  <c r="AI27" i="1"/>
  <c r="AK21" i="1"/>
  <c r="D112" i="1"/>
  <c r="AA35" i="1" l="1"/>
  <c r="AB35" i="1" s="1"/>
  <c r="AC35" i="1" s="1"/>
  <c r="AP35" i="1"/>
  <c r="AM31" i="1"/>
  <c r="AK30" i="1"/>
  <c r="AI29" i="1"/>
  <c r="AJ135" i="1"/>
  <c r="D135" i="1"/>
  <c r="A113" i="1"/>
  <c r="A114" i="1"/>
  <c r="AJ114" i="1"/>
  <c r="AJ113" i="1"/>
  <c r="AI28" i="1"/>
  <c r="AJ112" i="1"/>
  <c r="AI30" i="1"/>
  <c r="D114" i="1"/>
  <c r="AV30" i="1" l="1"/>
  <c r="AK31" i="1"/>
  <c r="AM32" i="1"/>
  <c r="AI31" i="1"/>
  <c r="D139" i="1"/>
  <c r="A115" i="1"/>
  <c r="A116" i="1"/>
  <c r="D113" i="1"/>
  <c r="D115" i="1"/>
  <c r="AJ115" i="1"/>
  <c r="AJ116" i="1"/>
  <c r="D116" i="1"/>
  <c r="AX30" i="1" l="1"/>
  <c r="AW30" i="1"/>
  <c r="AL33" i="1"/>
  <c r="AM33" i="1"/>
  <c r="AM34" i="1" s="1"/>
  <c r="AK32" i="1"/>
  <c r="AI139" i="1"/>
  <c r="AJ139" i="1"/>
  <c r="AI113" i="1"/>
  <c r="AI116" i="1"/>
  <c r="AI115" i="1"/>
  <c r="AI32" i="1"/>
  <c r="A117" i="1"/>
  <c r="D117" i="1" s="1"/>
  <c r="AM35" i="1" l="1"/>
  <c r="D141" i="1"/>
  <c r="AI33" i="1"/>
  <c r="AJ141" i="1"/>
  <c r="AK33" i="1"/>
  <c r="A118" i="1"/>
  <c r="D118" i="1"/>
  <c r="AJ117" i="1"/>
  <c r="AI34" i="1"/>
  <c r="A119" i="1"/>
  <c r="AJ118" i="1"/>
  <c r="D119" i="1"/>
  <c r="A120" i="1"/>
  <c r="AJ119" i="1"/>
  <c r="D120" i="1"/>
  <c r="AJ120" i="1"/>
  <c r="A121" i="1"/>
  <c r="D121" i="1"/>
  <c r="AJ121" i="1"/>
  <c r="AL35" i="1" l="1"/>
  <c r="AK34" i="1"/>
  <c r="A122" i="1"/>
  <c r="AI120" i="1"/>
  <c r="AI118" i="1"/>
  <c r="AI121" i="1"/>
  <c r="A123" i="1"/>
  <c r="AI119" i="1"/>
  <c r="D123" i="1"/>
  <c r="A124" i="1"/>
  <c r="AM36" i="1" l="1"/>
  <c r="AM37" i="1" s="1"/>
  <c r="AK35" i="1"/>
  <c r="AI35" i="1"/>
  <c r="A125" i="1"/>
  <c r="AI123" i="1"/>
  <c r="A126" i="1"/>
  <c r="AJ123" i="1"/>
  <c r="D125" i="1"/>
  <c r="AJ125" i="1"/>
  <c r="A127" i="1"/>
  <c r="AJ127" i="1"/>
  <c r="A128" i="1"/>
  <c r="D127" i="1"/>
  <c r="D128" i="1"/>
  <c r="AJ128" i="1"/>
  <c r="A129" i="1"/>
  <c r="AL37" i="1" l="1"/>
  <c r="AJ144" i="1"/>
  <c r="D144" i="1"/>
  <c r="AI37" i="1"/>
  <c r="AK36" i="1"/>
  <c r="D129" i="1"/>
  <c r="AI36" i="1"/>
  <c r="A130" i="1"/>
  <c r="AJ129" i="1"/>
  <c r="A131" i="1"/>
  <c r="AJ130" i="1"/>
  <c r="D130" i="1"/>
  <c r="AL131" i="1" l="1"/>
  <c r="AW144" i="1"/>
  <c r="AM38" i="1"/>
  <c r="AK37" i="1"/>
  <c r="AI129" i="1"/>
  <c r="D131" i="1"/>
  <c r="AJ131" i="1"/>
  <c r="A132" i="1"/>
  <c r="A133" i="1"/>
  <c r="A134" i="1" s="1"/>
  <c r="AJ133" i="1"/>
  <c r="D133" i="1"/>
  <c r="D132" i="1"/>
  <c r="AJ132" i="1"/>
  <c r="AL39" i="1" l="1"/>
  <c r="AM39" i="1"/>
  <c r="AK38" i="1"/>
  <c r="D147" i="1"/>
  <c r="A135" i="1"/>
  <c r="A136" i="1"/>
  <c r="A137" i="1"/>
  <c r="AI131" i="1"/>
  <c r="D136" i="1"/>
  <c r="AI38" i="1"/>
  <c r="AI132" i="1"/>
  <c r="AJ134" i="1"/>
  <c r="D134" i="1"/>
  <c r="AJ136" i="1"/>
  <c r="AL40" i="1" l="1"/>
  <c r="AM40" i="1"/>
  <c r="AM41" i="1" s="1"/>
  <c r="AJ147" i="1"/>
  <c r="AI147" i="1"/>
  <c r="AJ137" i="1"/>
  <c r="AK39" i="1"/>
  <c r="A138" i="1"/>
  <c r="AI39" i="1"/>
  <c r="D137" i="1"/>
  <c r="AL41" i="1" l="1"/>
  <c r="AM42" i="1"/>
  <c r="AM43" i="1" s="1"/>
  <c r="AJ138" i="1"/>
  <c r="A139" i="1"/>
  <c r="D138" i="1"/>
  <c r="A140" i="1"/>
  <c r="A141" i="1"/>
  <c r="AI41" i="1"/>
  <c r="AI137" i="1"/>
  <c r="AK40" i="1"/>
  <c r="AI40" i="1"/>
  <c r="AL43" i="1" l="1"/>
  <c r="AM44" i="1"/>
  <c r="AK43" i="1"/>
  <c r="AV43" i="1" s="1"/>
  <c r="AX43" i="1" s="1"/>
  <c r="AI43" i="1"/>
  <c r="D140" i="1"/>
  <c r="AK41" i="1"/>
  <c r="AI42" i="1"/>
  <c r="AJ140" i="1"/>
  <c r="A142" i="1"/>
  <c r="A143" i="1"/>
  <c r="A144" i="1"/>
  <c r="A145" i="1" s="1"/>
  <c r="D143" i="1"/>
  <c r="AJ142" i="1"/>
  <c r="D142" i="1"/>
  <c r="AK44" i="1" l="1"/>
  <c r="AV44" i="1" s="1"/>
  <c r="D151" i="1"/>
  <c r="AJ151" i="1"/>
  <c r="AJ145" i="1"/>
  <c r="A146" i="1"/>
  <c r="AI44" i="1"/>
  <c r="AK42" i="1"/>
  <c r="AI142" i="1"/>
  <c r="D146" i="1"/>
  <c r="A147" i="1"/>
  <c r="D145" i="1"/>
  <c r="AJ143" i="1"/>
  <c r="AJ146" i="1"/>
  <c r="A148" i="1"/>
  <c r="D148" i="1"/>
  <c r="AJ148" i="1"/>
  <c r="A149" i="1"/>
  <c r="D149" i="1"/>
  <c r="AJ149" i="1"/>
  <c r="A150" i="1"/>
  <c r="D150" i="1"/>
  <c r="AJ150" i="1"/>
  <c r="A151" i="1"/>
  <c r="AL147" i="1" l="1"/>
  <c r="AL146" i="1"/>
  <c r="AX44" i="1"/>
  <c r="AW44" i="1"/>
  <c r="AM45" i="1"/>
  <c r="AM46" i="1" s="1"/>
  <c r="AM47" i="1" s="1"/>
  <c r="AM48" i="1" s="1"/>
  <c r="AI148" i="1"/>
  <c r="AI146" i="1"/>
  <c r="A152" i="1"/>
  <c r="D152" i="1" s="1"/>
  <c r="AJ152" i="1"/>
  <c r="AL48" i="1" l="1"/>
  <c r="AL47" i="1"/>
  <c r="AM49" i="1"/>
  <c r="AM50" i="1" s="1"/>
  <c r="AI48" i="1"/>
  <c r="A153" i="1"/>
  <c r="AI45" i="1"/>
  <c r="AK45" i="1"/>
  <c r="A154" i="1"/>
  <c r="AI47" i="1"/>
  <c r="AJ153" i="1"/>
  <c r="AI46" i="1"/>
  <c r="AI152" i="1"/>
  <c r="A155" i="1"/>
  <c r="D153" i="1"/>
  <c r="AV45" i="1" l="1"/>
  <c r="AL50" i="1"/>
  <c r="AI50" i="1"/>
  <c r="AJ154" i="1"/>
  <c r="AJ155" i="1"/>
  <c r="D154" i="1"/>
  <c r="D155" i="1"/>
  <c r="A156" i="1"/>
  <c r="AI49" i="1"/>
  <c r="AK46" i="1"/>
  <c r="AX45" i="1" l="1"/>
  <c r="AW45" i="1"/>
  <c r="AL52" i="1"/>
  <c r="AM51" i="1"/>
  <c r="AM52" i="1" s="1"/>
  <c r="AM53" i="1" s="1"/>
  <c r="AI52" i="1"/>
  <c r="AJ157" i="1"/>
  <c r="AK48" i="1"/>
  <c r="D157" i="1"/>
  <c r="AJ156" i="1"/>
  <c r="D156" i="1"/>
  <c r="A157" i="1"/>
  <c r="AK47" i="1"/>
  <c r="AI51" i="1"/>
  <c r="AI155" i="1"/>
  <c r="AU156" i="1" l="1"/>
  <c r="AM54" i="1"/>
  <c r="AM55" i="1" s="1"/>
  <c r="AM56" i="1" s="1"/>
  <c r="AM57" i="1" s="1"/>
  <c r="AM58" i="1" s="1"/>
  <c r="AJ159" i="1"/>
  <c r="D159" i="1"/>
  <c r="AW159" i="1" s="1"/>
  <c r="AK49" i="1"/>
  <c r="AI157" i="1"/>
  <c r="A158" i="1"/>
  <c r="D158" i="1"/>
  <c r="AJ158" i="1"/>
  <c r="AU159" i="1" l="1"/>
  <c r="AL54" i="1"/>
  <c r="AK50" i="1"/>
  <c r="A159" i="1"/>
  <c r="AI55" i="1"/>
  <c r="AI54" i="1"/>
  <c r="AI56" i="1"/>
  <c r="AI53" i="1"/>
  <c r="AM59" i="1" l="1"/>
  <c r="AM60" i="1" s="1"/>
  <c r="AK59" i="1"/>
  <c r="AK51" i="1"/>
  <c r="AI59" i="1"/>
  <c r="A160" i="1"/>
  <c r="AJ160" i="1"/>
  <c r="A161" i="1"/>
  <c r="D160" i="1"/>
  <c r="AM62" i="1" l="1"/>
  <c r="AM63" i="1" s="1"/>
  <c r="AM64" i="1" s="1"/>
  <c r="AM61" i="1"/>
  <c r="AL62" i="1"/>
  <c r="AI62" i="1"/>
  <c r="AK52" i="1"/>
  <c r="D162" i="1"/>
  <c r="AJ162" i="1"/>
  <c r="AK60" i="1"/>
  <c r="AI60" i="1"/>
  <c r="A162" i="1"/>
  <c r="D161" i="1"/>
  <c r="AJ161" i="1"/>
  <c r="AU162" i="1" l="1"/>
  <c r="AL64" i="1"/>
  <c r="AI64" i="1"/>
  <c r="AK53" i="1"/>
  <c r="AI161" i="1"/>
  <c r="AK54" i="1"/>
  <c r="A163" i="1"/>
  <c r="AK61" i="1"/>
  <c r="AI63" i="1"/>
  <c r="B5" i="13" l="1"/>
  <c r="AK62" i="1"/>
  <c r="AK55" i="1"/>
  <c r="D163" i="1"/>
  <c r="AJ163" i="1"/>
  <c r="A164" i="1"/>
  <c r="F5" i="13" l="1"/>
  <c r="G5" i="13"/>
  <c r="B6" i="13"/>
  <c r="E5" i="13"/>
  <c r="B7" i="13"/>
  <c r="C5" i="13"/>
  <c r="D5" i="13"/>
  <c r="B8" i="13"/>
  <c r="H5" i="13"/>
  <c r="AK63" i="1"/>
  <c r="A165" i="1"/>
  <c r="A166" i="1"/>
  <c r="D164" i="1"/>
  <c r="AJ165" i="1"/>
  <c r="D165" i="1"/>
  <c r="AK56" i="1"/>
  <c r="AJ164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D166" i="1"/>
  <c r="A167" i="1"/>
  <c r="AK57" i="1"/>
  <c r="AJ166" i="1"/>
  <c r="B4" i="13" l="1"/>
  <c r="AJ172" i="1"/>
  <c r="D172" i="1"/>
  <c r="AK58" i="1"/>
  <c r="AJ167" i="1"/>
  <c r="A168" i="1"/>
  <c r="A169" i="1" s="1"/>
  <c r="D168" i="1"/>
  <c r="A170" i="1"/>
  <c r="D167" i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0" i="1"/>
  <c r="D169" i="1"/>
  <c r="A171" i="1"/>
  <c r="AJ168" i="1"/>
  <c r="AJ171" i="1"/>
  <c r="AI167" i="1"/>
  <c r="AJ170" i="1"/>
  <c r="AJ169" i="1"/>
  <c r="AJ177" i="1" l="1"/>
  <c r="D177" i="1"/>
  <c r="D171" i="1"/>
  <c r="A172" i="1"/>
  <c r="A173" i="1"/>
  <c r="D173" i="1"/>
  <c r="AJ173" i="1"/>
  <c r="A174" i="1"/>
  <c r="D174" i="1"/>
  <c r="AJ174" i="1"/>
  <c r="A175" i="1"/>
  <c r="AU173" i="1" l="1"/>
  <c r="AJ175" i="1"/>
  <c r="D175" i="1"/>
  <c r="A176" i="1"/>
  <c r="AJ176" i="1" s="1"/>
  <c r="A177" i="1"/>
  <c r="AM178" i="1" l="1"/>
  <c r="B38" i="5"/>
  <c r="D176" i="1"/>
  <c r="A178" i="1"/>
  <c r="A179" i="1"/>
  <c r="AJ179" i="1"/>
  <c r="AJ178" i="1"/>
  <c r="D178" i="1"/>
  <c r="A180" i="1"/>
  <c r="D180" i="1"/>
  <c r="AJ180" i="1"/>
  <c r="A181" i="1"/>
  <c r="AK178" i="1" l="1"/>
  <c r="AU178" i="1"/>
  <c r="AU176" i="1"/>
  <c r="AU180" i="1"/>
  <c r="F38" i="5"/>
  <c r="G38" i="5"/>
  <c r="E38" i="5"/>
  <c r="D38" i="5"/>
  <c r="H38" i="5"/>
  <c r="C38" i="5"/>
  <c r="A38" i="5" s="1"/>
  <c r="I38" i="5"/>
  <c r="J38" i="5"/>
  <c r="D179" i="1"/>
  <c r="AI178" i="1"/>
  <c r="AJ181" i="1"/>
  <c r="D181" i="1"/>
  <c r="A182" i="1"/>
  <c r="AJ182" i="1"/>
  <c r="AV178" i="1" l="1"/>
  <c r="AX178" i="1" s="1"/>
  <c r="K38" i="5"/>
  <c r="L38" i="5" s="1"/>
  <c r="M38" i="5" s="1"/>
  <c r="A183" i="1"/>
  <c r="D183" i="1"/>
  <c r="D182" i="1"/>
  <c r="AJ183" i="1"/>
  <c r="A184" i="1"/>
  <c r="AJ184" i="1"/>
  <c r="A185" i="1"/>
  <c r="D185" i="1"/>
  <c r="AJ185" i="1"/>
  <c r="A186" i="1"/>
  <c r="AW178" i="1" l="1"/>
  <c r="AL66" i="1"/>
  <c r="AK65" i="1"/>
  <c r="A187" i="1"/>
  <c r="AI66" i="1"/>
  <c r="AJ187" i="1"/>
  <c r="A188" i="1"/>
  <c r="AI65" i="1"/>
  <c r="D184" i="1"/>
  <c r="D186" i="1"/>
  <c r="AJ186" i="1"/>
  <c r="AL69" i="1" l="1"/>
  <c r="D195" i="1"/>
  <c r="AJ195" i="1"/>
  <c r="AI69" i="1"/>
  <c r="D187" i="1"/>
  <c r="A189" i="1"/>
  <c r="D188" i="1"/>
  <c r="AI67" i="1"/>
  <c r="AI68" i="1"/>
  <c r="AK66" i="1"/>
  <c r="AJ188" i="1"/>
  <c r="AU195" i="1" l="1"/>
  <c r="AW195" i="1"/>
  <c r="AL71" i="1"/>
  <c r="D189" i="1"/>
  <c r="AJ189" i="1"/>
  <c r="A190" i="1"/>
  <c r="AI70" i="1"/>
  <c r="AK67" i="1"/>
  <c r="AL72" i="1" l="1"/>
  <c r="AI72" i="1"/>
  <c r="AJ190" i="1"/>
  <c r="D190" i="1"/>
  <c r="AK68" i="1"/>
  <c r="A191" i="1"/>
  <c r="AK69" i="1" l="1"/>
  <c r="A192" i="1"/>
  <c r="AI190" i="1"/>
  <c r="AI73" i="1"/>
  <c r="AJ191" i="1"/>
  <c r="D191" i="1"/>
  <c r="AK73" i="1" l="1"/>
  <c r="AK70" i="1"/>
  <c r="AI74" i="1"/>
  <c r="AJ192" i="1"/>
  <c r="A193" i="1"/>
  <c r="AK71" i="1"/>
  <c r="D192" i="1"/>
  <c r="AU192" i="1" l="1"/>
  <c r="AK74" i="1"/>
  <c r="AK75" i="1"/>
  <c r="AK72" i="1"/>
  <c r="D193" i="1"/>
  <c r="AI76" i="1"/>
  <c r="A194" i="1"/>
  <c r="AK76" i="1"/>
  <c r="AJ193" i="1"/>
  <c r="AI75" i="1"/>
  <c r="AL79" i="1" l="1"/>
  <c r="AL78" i="1"/>
  <c r="D194" i="1"/>
  <c r="A195" i="1"/>
  <c r="AK77" i="1"/>
  <c r="AI79" i="1"/>
  <c r="AI77" i="1"/>
  <c r="AI78" i="1"/>
  <c r="AJ194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196" i="1"/>
  <c r="D196" i="1"/>
  <c r="AK78" i="1"/>
  <c r="A197" i="1"/>
  <c r="AJ196" i="1"/>
  <c r="AI80" i="1"/>
  <c r="AI81" i="1"/>
  <c r="AL83" i="1" l="1"/>
  <c r="AM83" i="1"/>
  <c r="AJ197" i="1"/>
  <c r="D197" i="1"/>
  <c r="A198" i="1"/>
  <c r="AK79" i="1"/>
  <c r="AI82" i="1"/>
  <c r="AM84" i="1" l="1"/>
  <c r="D198" i="1"/>
  <c r="A199" i="1"/>
  <c r="AI83" i="1"/>
  <c r="AJ198" i="1"/>
  <c r="AK80" i="1"/>
  <c r="AL85" i="1" l="1"/>
  <c r="AM85" i="1"/>
  <c r="AM86" i="1" s="1"/>
  <c r="AK81" i="1"/>
  <c r="D199" i="1"/>
  <c r="AI84" i="1"/>
  <c r="AJ199" i="1"/>
  <c r="A200" i="1"/>
  <c r="AL87" i="1" l="1"/>
  <c r="AM87" i="1"/>
  <c r="AM88" i="1" s="1"/>
  <c r="AI85" i="1"/>
  <c r="AI86" i="1"/>
  <c r="A201" i="1"/>
  <c r="AJ200" i="1"/>
  <c r="D200" i="1"/>
  <c r="AK82" i="1"/>
  <c r="AL89" i="1" l="1"/>
  <c r="AL88" i="1"/>
  <c r="AM89" i="1"/>
  <c r="AM90" i="1" s="1"/>
  <c r="AK83" i="1"/>
  <c r="A202" i="1"/>
  <c r="AI88" i="1"/>
  <c r="AJ201" i="1"/>
  <c r="D201" i="1"/>
  <c r="AI87" i="1"/>
  <c r="AL90" i="1" l="1"/>
  <c r="AM91" i="1"/>
  <c r="AI90" i="1"/>
  <c r="AK85" i="1"/>
  <c r="D202" i="1"/>
  <c r="A203" i="1"/>
  <c r="AI89" i="1"/>
  <c r="AJ202" i="1"/>
  <c r="AK84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K87" i="1"/>
  <c r="AI93" i="1"/>
  <c r="D204" i="1"/>
  <c r="A205" i="1"/>
  <c r="AJ204" i="1"/>
  <c r="AI92" i="1"/>
  <c r="AL95" i="1" l="1"/>
  <c r="AM95" i="1"/>
  <c r="AM96" i="1" s="1"/>
  <c r="AM97" i="1" s="1"/>
  <c r="AM98" i="1" s="1"/>
  <c r="AM99" i="1" s="1"/>
  <c r="AK91" i="1"/>
  <c r="AJ205" i="1"/>
  <c r="AI94" i="1"/>
  <c r="D205" i="1"/>
  <c r="A206" i="1"/>
  <c r="AK88" i="1"/>
  <c r="AM101" i="1" l="1"/>
  <c r="AM100" i="1"/>
  <c r="AL97" i="1"/>
  <c r="AI99" i="1"/>
  <c r="AI97" i="1"/>
  <c r="A207" i="1"/>
  <c r="AI96" i="1"/>
  <c r="AI98" i="1"/>
  <c r="AI95" i="1"/>
  <c r="AJ206" i="1"/>
  <c r="AK89" i="1"/>
  <c r="D206" i="1"/>
  <c r="AK92" i="1"/>
  <c r="AK98" i="1" l="1"/>
  <c r="AV98" i="1" s="1"/>
  <c r="D208" i="1"/>
  <c r="AJ208" i="1"/>
  <c r="AK93" i="1"/>
  <c r="A208" i="1"/>
  <c r="D207" i="1"/>
  <c r="AI102" i="1"/>
  <c r="AI104" i="1"/>
  <c r="AJ207" i="1"/>
  <c r="AI103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I106" i="1"/>
  <c r="A209" i="1"/>
  <c r="AI207" i="1"/>
  <c r="AK94" i="1"/>
  <c r="D209" i="1"/>
  <c r="AJ209" i="1"/>
  <c r="AV97" i="1" l="1"/>
  <c r="AV99" i="1"/>
  <c r="AM109" i="1"/>
  <c r="AM110" i="1" s="1"/>
  <c r="AM111" i="1" s="1"/>
  <c r="AK100" i="1"/>
  <c r="AK95" i="1"/>
  <c r="AI107" i="1"/>
  <c r="A210" i="1"/>
  <c r="A211" i="1" s="1"/>
  <c r="D210" i="1"/>
  <c r="AJ210" i="1"/>
  <c r="AX99" i="1" l="1"/>
  <c r="AW99" i="1"/>
  <c r="AX97" i="1"/>
  <c r="AW97" i="1"/>
  <c r="AL109" i="1"/>
  <c r="AL108" i="1"/>
  <c r="AM112" i="1"/>
  <c r="AM113" i="1" s="1"/>
  <c r="AK111" i="1"/>
  <c r="D211" i="1"/>
  <c r="A212" i="1"/>
  <c r="AK96" i="1"/>
  <c r="AK101" i="1"/>
  <c r="AI110" i="1"/>
  <c r="AI109" i="1"/>
  <c r="AJ211" i="1"/>
  <c r="AM114" i="1" l="1"/>
  <c r="AM115" i="1" s="1"/>
  <c r="AM116" i="1" s="1"/>
  <c r="AK112" i="1"/>
  <c r="D212" i="1"/>
  <c r="AJ212" i="1"/>
  <c r="AK102" i="1"/>
  <c r="A213" i="1"/>
  <c r="AI112" i="1"/>
  <c r="AI211" i="1"/>
  <c r="AL113" i="1" l="1"/>
  <c r="AM117" i="1"/>
  <c r="AM118" i="1" s="1"/>
  <c r="AM119" i="1" s="1"/>
  <c r="AM120" i="1" s="1"/>
  <c r="AM121" i="1" s="1"/>
  <c r="AM122" i="1" s="1"/>
  <c r="AK103" i="1"/>
  <c r="AK113" i="1"/>
  <c r="A214" i="1"/>
  <c r="D214" i="1"/>
  <c r="AI114" i="1"/>
  <c r="AJ213" i="1"/>
  <c r="D213" i="1"/>
  <c r="A215" i="1"/>
  <c r="AM124" i="1" l="1"/>
  <c r="AM123" i="1"/>
  <c r="AL116" i="1"/>
  <c r="AJ215" i="1"/>
  <c r="D215" i="1"/>
  <c r="AK104" i="1"/>
  <c r="A216" i="1"/>
  <c r="AI117" i="1"/>
  <c r="AJ214" i="1"/>
  <c r="AK114" i="1"/>
  <c r="AL122" i="1" l="1"/>
  <c r="AL120" i="1"/>
  <c r="AL119" i="1"/>
  <c r="AK105" i="1"/>
  <c r="AI215" i="1"/>
  <c r="D216" i="1"/>
  <c r="A217" i="1"/>
  <c r="AK115" i="1"/>
  <c r="AJ216" i="1"/>
  <c r="AK106" i="1" l="1"/>
  <c r="D217" i="1"/>
  <c r="AK116" i="1"/>
  <c r="A218" i="1"/>
  <c r="AJ217" i="1"/>
  <c r="AM125" i="1" l="1"/>
  <c r="AJ218" i="1"/>
  <c r="D218" i="1"/>
  <c r="AK117" i="1"/>
  <c r="AK107" i="1"/>
  <c r="A219" i="1"/>
  <c r="AM126" i="1" l="1"/>
  <c r="D219" i="1"/>
  <c r="AK118" i="1"/>
  <c r="AI125" i="1"/>
  <c r="AJ219" i="1"/>
  <c r="AK108" i="1"/>
  <c r="A220" i="1"/>
  <c r="AM127" i="1" l="1"/>
  <c r="AK122" i="1"/>
  <c r="AJ220" i="1"/>
  <c r="D220" i="1"/>
  <c r="AI126" i="1"/>
  <c r="A221" i="1"/>
  <c r="AK109" i="1"/>
  <c r="AI219" i="1"/>
  <c r="AK119" i="1"/>
  <c r="AL128" i="1" l="1"/>
  <c r="AM128" i="1"/>
  <c r="AM129" i="1" s="1"/>
  <c r="AK123" i="1"/>
  <c r="AK120" i="1"/>
  <c r="A222" i="1"/>
  <c r="AJ221" i="1"/>
  <c r="D221" i="1"/>
  <c r="AK110" i="1"/>
  <c r="AI127" i="1"/>
  <c r="AL129" i="1" l="1"/>
  <c r="AK125" i="1"/>
  <c r="D222" i="1"/>
  <c r="AK124" i="1"/>
  <c r="AJ222" i="1"/>
  <c r="A223" i="1"/>
  <c r="AI128" i="1"/>
  <c r="AK121" i="1"/>
  <c r="AL132" i="1" l="1"/>
  <c r="AM130" i="1"/>
  <c r="AK126" i="1"/>
  <c r="AI222" i="1"/>
  <c r="A224" i="1"/>
  <c r="D223" i="1"/>
  <c r="AJ223" i="1"/>
  <c r="AM132" i="1" l="1"/>
  <c r="AM133" i="1" s="1"/>
  <c r="AM131" i="1"/>
  <c r="AL133" i="1"/>
  <c r="D224" i="1"/>
  <c r="AK127" i="1"/>
  <c r="AJ224" i="1"/>
  <c r="A225" i="1"/>
  <c r="AI130" i="1"/>
  <c r="AL134" i="1" l="1"/>
  <c r="AM134" i="1"/>
  <c r="AJ225" i="1"/>
  <c r="D225" i="1"/>
  <c r="A226" i="1"/>
  <c r="AK128" i="1"/>
  <c r="AI133" i="1"/>
  <c r="AL135" i="1" l="1"/>
  <c r="AM135" i="1"/>
  <c r="D226" i="1"/>
  <c r="AJ226" i="1"/>
  <c r="AI134" i="1"/>
  <c r="AK129" i="1"/>
  <c r="A227" i="1"/>
  <c r="AM136" i="1" l="1"/>
  <c r="AM137" i="1" s="1"/>
  <c r="AI135" i="1"/>
  <c r="D227" i="1"/>
  <c r="AK130" i="1"/>
  <c r="A228" i="1"/>
  <c r="AJ227" i="1"/>
  <c r="AL137" i="1" l="1"/>
  <c r="AM138" i="1"/>
  <c r="AM139" i="1" s="1"/>
  <c r="AM141" i="1"/>
  <c r="AM142" i="1" s="1"/>
  <c r="AJ228" i="1"/>
  <c r="D228" i="1"/>
  <c r="A229" i="1"/>
  <c r="AI227" i="1"/>
  <c r="AK131" i="1"/>
  <c r="AI136" i="1"/>
  <c r="AK141" i="1" l="1"/>
  <c r="AL138" i="1"/>
  <c r="AM140" i="1"/>
  <c r="AK142" i="1"/>
  <c r="AI141" i="1"/>
  <c r="AK132" i="1"/>
  <c r="AI138" i="1"/>
  <c r="AJ229" i="1"/>
  <c r="AI140" i="1"/>
  <c r="D229" i="1"/>
  <c r="A230" i="1"/>
  <c r="AL143" i="1" l="1"/>
  <c r="AM143" i="1"/>
  <c r="AM144" i="1" s="1"/>
  <c r="AJ230" i="1"/>
  <c r="AK133" i="1"/>
  <c r="A231" i="1"/>
  <c r="AK143" i="1"/>
  <c r="D230" i="1"/>
  <c r="AL144" i="1" l="1"/>
  <c r="AM145" i="1"/>
  <c r="AI144" i="1"/>
  <c r="AK139" i="1"/>
  <c r="AK144" i="1"/>
  <c r="AK135" i="1"/>
  <c r="AK134" i="1"/>
  <c r="A232" i="1"/>
  <c r="AI143" i="1"/>
  <c r="AJ231" i="1"/>
  <c r="D231" i="1"/>
  <c r="AI145" i="1"/>
  <c r="AM148" i="1" l="1"/>
  <c r="AM149" i="1" s="1"/>
  <c r="AM146" i="1"/>
  <c r="AM147" i="1" s="1"/>
  <c r="AL149" i="1"/>
  <c r="AK145" i="1"/>
  <c r="AK140" i="1"/>
  <c r="AK136" i="1"/>
  <c r="AJ232" i="1"/>
  <c r="D232" i="1"/>
  <c r="A233" i="1"/>
  <c r="AL150" i="1" l="1"/>
  <c r="AM150" i="1"/>
  <c r="AJ233" i="1"/>
  <c r="D233" i="1"/>
  <c r="AK146" i="1"/>
  <c r="AK137" i="1"/>
  <c r="AI149" i="1"/>
  <c r="AI150" i="1"/>
  <c r="A234" i="1"/>
  <c r="AM151" i="1" l="1"/>
  <c r="AM152" i="1" s="1"/>
  <c r="AJ235" i="1"/>
  <c r="AI151" i="1"/>
  <c r="AK147" i="1"/>
  <c r="D234" i="1"/>
  <c r="AK138" i="1"/>
  <c r="A235" i="1"/>
  <c r="AJ234" i="1"/>
  <c r="AM153" i="1" l="1"/>
  <c r="D235" i="1"/>
  <c r="AK148" i="1"/>
  <c r="A236" i="1"/>
  <c r="AW235" i="1" l="1"/>
  <c r="AM154" i="1"/>
  <c r="AM155" i="1" s="1"/>
  <c r="D236" i="1"/>
  <c r="A237" i="1"/>
  <c r="AJ236" i="1"/>
  <c r="AK149" i="1"/>
  <c r="AI153" i="1"/>
  <c r="AL155" i="1" l="1"/>
  <c r="AM156" i="1"/>
  <c r="AM157" i="1" s="1"/>
  <c r="AK151" i="1"/>
  <c r="AK152" i="1"/>
  <c r="AJ237" i="1"/>
  <c r="D237" i="1"/>
  <c r="AI154" i="1"/>
  <c r="A238" i="1"/>
  <c r="AK150" i="1"/>
  <c r="AL158" i="1" l="1"/>
  <c r="AL156" i="1"/>
  <c r="AM158" i="1"/>
  <c r="D238" i="1"/>
  <c r="AJ238" i="1"/>
  <c r="A239" i="1"/>
  <c r="AK153" i="1"/>
  <c r="AI156" i="1"/>
  <c r="AM159" i="1" l="1"/>
  <c r="AM160" i="1" s="1"/>
  <c r="AM161" i="1" s="1"/>
  <c r="AM162" i="1" s="1"/>
  <c r="AK157" i="1"/>
  <c r="AI159" i="1"/>
  <c r="A240" i="1"/>
  <c r="D239" i="1"/>
  <c r="AI160" i="1"/>
  <c r="AK154" i="1"/>
  <c r="AJ239" i="1"/>
  <c r="AI158" i="1"/>
  <c r="D240" i="1" l="1"/>
  <c r="AM163" i="1"/>
  <c r="AJ240" i="1"/>
  <c r="AI162" i="1"/>
  <c r="AI239" i="1"/>
  <c r="AK158" i="1"/>
  <c r="AK155" i="1"/>
  <c r="A241" i="1"/>
  <c r="AM164" i="1" l="1"/>
  <c r="AM165" i="1" s="1"/>
  <c r="AM166" i="1" s="1"/>
  <c r="AM167" i="1" s="1"/>
  <c r="AK159" i="1"/>
  <c r="AV159" i="1" s="1"/>
  <c r="AX159" i="1" s="1"/>
  <c r="AJ242" i="1"/>
  <c r="D242" i="1"/>
  <c r="AJ241" i="1"/>
  <c r="A242" i="1"/>
  <c r="D241" i="1"/>
  <c r="AI163" i="1"/>
  <c r="AK156" i="1"/>
  <c r="AI164" i="1"/>
  <c r="AV156" i="1" l="1"/>
  <c r="AX156" i="1" s="1"/>
  <c r="AL166" i="1"/>
  <c r="AM168" i="1"/>
  <c r="AK160" i="1"/>
  <c r="A243" i="1"/>
  <c r="D243" i="1"/>
  <c r="AI166" i="1"/>
  <c r="AJ243" i="1"/>
  <c r="AW156" i="1" l="1"/>
  <c r="AL168" i="1"/>
  <c r="AM169" i="1"/>
  <c r="AJ245" i="1"/>
  <c r="D245" i="1"/>
  <c r="AI243" i="1"/>
  <c r="AI165" i="1"/>
  <c r="AI168" i="1"/>
  <c r="A244" i="1"/>
  <c r="AK161" i="1"/>
  <c r="D244" i="1"/>
  <c r="A245" i="1"/>
  <c r="AJ244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247" i="1"/>
  <c r="AI171" i="1"/>
  <c r="AI170" i="1"/>
  <c r="AJ246" i="1"/>
  <c r="AM175" i="1" l="1"/>
  <c r="AM176" i="1" s="1"/>
  <c r="AI172" i="1"/>
  <c r="AJ247" i="1"/>
  <c r="D247" i="1"/>
  <c r="A248" i="1"/>
  <c r="AK164" i="1"/>
  <c r="AI173" i="1"/>
  <c r="AI174" i="1"/>
  <c r="AV164" i="1" l="1"/>
  <c r="AX164" i="1" s="1"/>
  <c r="AM177" i="1"/>
  <c r="AK172" i="1"/>
  <c r="AV172" i="1" s="1"/>
  <c r="A249" i="1"/>
  <c r="AI175" i="1"/>
  <c r="AI176" i="1"/>
  <c r="D248" i="1"/>
  <c r="AK165" i="1"/>
  <c r="AJ248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K166" i="1"/>
  <c r="AK179" i="1"/>
  <c r="A250" i="1"/>
  <c r="AI179" i="1"/>
  <c r="AK174" i="1"/>
  <c r="AV173" i="1" l="1"/>
  <c r="AM182" i="1"/>
  <c r="AM183" i="1" s="1"/>
  <c r="AJ262" i="1"/>
  <c r="D262" i="1"/>
  <c r="AW262" i="1" s="1"/>
  <c r="AJ251" i="1"/>
  <c r="AK180" i="1"/>
  <c r="AK167" i="1"/>
  <c r="AJ250" i="1"/>
  <c r="AI181" i="1"/>
  <c r="AI180" i="1"/>
  <c r="AK175" i="1"/>
  <c r="A251" i="1"/>
  <c r="D250" i="1"/>
  <c r="AV180" i="1" l="1"/>
  <c r="D251" i="1"/>
  <c r="AX173" i="1"/>
  <c r="AW173" i="1"/>
  <c r="AU262" i="1"/>
  <c r="AL183" i="1"/>
  <c r="AM184" i="1"/>
  <c r="AJ260" i="1"/>
  <c r="D260" i="1"/>
  <c r="AK168" i="1"/>
  <c r="AI183" i="1"/>
  <c r="A252" i="1"/>
  <c r="AK181" i="1"/>
  <c r="AI182" i="1"/>
  <c r="AK176" i="1"/>
  <c r="AV176" i="1" l="1"/>
  <c r="AX180" i="1"/>
  <c r="AW180" i="1"/>
  <c r="AW260" i="1"/>
  <c r="AL185" i="1"/>
  <c r="AL184" i="1"/>
  <c r="AM185" i="1"/>
  <c r="AK182" i="1"/>
  <c r="A253" i="1"/>
  <c r="AK169" i="1"/>
  <c r="AI184" i="1"/>
  <c r="D252" i="1"/>
  <c r="AJ252" i="1"/>
  <c r="AX176" i="1" l="1"/>
  <c r="AW176" i="1"/>
  <c r="AM186" i="1"/>
  <c r="AM187" i="1" s="1"/>
  <c r="AM188" i="1" s="1"/>
  <c r="D254" i="1"/>
  <c r="AJ254" i="1"/>
  <c r="AK183" i="1"/>
  <c r="AK184" i="1"/>
  <c r="D253" i="1"/>
  <c r="A254" i="1"/>
  <c r="AK170" i="1"/>
  <c r="AJ253" i="1"/>
  <c r="AI185" i="1"/>
  <c r="AI186" i="1"/>
  <c r="AL189" i="1" l="1"/>
  <c r="AM189" i="1"/>
  <c r="AM190" i="1" s="1"/>
  <c r="AI189" i="1"/>
  <c r="AI253" i="1"/>
  <c r="A255" i="1"/>
  <c r="AK171" i="1"/>
  <c r="AK185" i="1"/>
  <c r="AI187" i="1"/>
  <c r="AI188" i="1"/>
  <c r="AM191" i="1" l="1"/>
  <c r="AM192" i="1" s="1"/>
  <c r="AK189" i="1"/>
  <c r="AK186" i="1"/>
  <c r="A256" i="1"/>
  <c r="D255" i="1"/>
  <c r="AJ255" i="1"/>
  <c r="AL192" i="1" l="1"/>
  <c r="AM193" i="1"/>
  <c r="AM194" i="1" s="1"/>
  <c r="AK190" i="1"/>
  <c r="AI191" i="1"/>
  <c r="AK187" i="1"/>
  <c r="A257" i="1"/>
  <c r="D257" i="1"/>
  <c r="AI192" i="1"/>
  <c r="AJ256" i="1"/>
  <c r="AK191" i="1"/>
  <c r="D256" i="1"/>
  <c r="A258" i="1"/>
  <c r="AU256" i="1" l="1"/>
  <c r="AL195" i="1"/>
  <c r="AM195" i="1"/>
  <c r="AM196" i="1"/>
  <c r="AM197" i="1" s="1"/>
  <c r="AJ258" i="1"/>
  <c r="D258" i="1"/>
  <c r="A259" i="1"/>
  <c r="AK188" i="1"/>
  <c r="AK192" i="1"/>
  <c r="AJ257" i="1"/>
  <c r="AI193" i="1"/>
  <c r="AV192" i="1" l="1"/>
  <c r="AW192" i="1" s="1"/>
  <c r="AK196" i="1"/>
  <c r="AM198" i="1"/>
  <c r="AM199" i="1" s="1"/>
  <c r="AK195" i="1"/>
  <c r="AV195" i="1" s="1"/>
  <c r="AX195" i="1" s="1"/>
  <c r="AI195" i="1"/>
  <c r="AK193" i="1"/>
  <c r="AI197" i="1"/>
  <c r="AI194" i="1"/>
  <c r="A260" i="1"/>
  <c r="AJ259" i="1"/>
  <c r="D259" i="1"/>
  <c r="AK197" i="1"/>
  <c r="AI196" i="1"/>
  <c r="AX192" i="1" l="1"/>
  <c r="AL199" i="1"/>
  <c r="AL198" i="1"/>
  <c r="AM200" i="1"/>
  <c r="AM201" i="1" s="1"/>
  <c r="AK198" i="1"/>
  <c r="AI198" i="1"/>
  <c r="AK194" i="1"/>
  <c r="AI199" i="1"/>
  <c r="AI259" i="1"/>
  <c r="A261" i="1"/>
  <c r="D261" i="1"/>
  <c r="AL201" i="1" l="1"/>
  <c r="AL200" i="1"/>
  <c r="AM202" i="1"/>
  <c r="AM203" i="1" s="1"/>
  <c r="AJ261" i="1"/>
  <c r="AI201" i="1"/>
  <c r="AI200" i="1"/>
  <c r="AK199" i="1"/>
  <c r="A262" i="1"/>
  <c r="AL202" i="1" l="1"/>
  <c r="AM204" i="1"/>
  <c r="AJ264" i="1"/>
  <c r="A263" i="1"/>
  <c r="A264" i="1"/>
  <c r="AK200" i="1"/>
  <c r="D263" i="1"/>
  <c r="AJ263" i="1"/>
  <c r="AI202" i="1"/>
  <c r="AM205" i="1" l="1"/>
  <c r="AM206" i="1" s="1"/>
  <c r="AM207" i="1" s="1"/>
  <c r="D264" i="1"/>
  <c r="AK201" i="1"/>
  <c r="A265" i="1"/>
  <c r="AI204" i="1"/>
  <c r="AM208" i="1" l="1"/>
  <c r="A266" i="1"/>
  <c r="AI206" i="1"/>
  <c r="AJ265" i="1"/>
  <c r="AK202" i="1"/>
  <c r="AI205" i="1"/>
  <c r="D265" i="1"/>
  <c r="AM209" i="1" l="1"/>
  <c r="AM210" i="1" s="1"/>
  <c r="AM211" i="1" s="1"/>
  <c r="AK203" i="1"/>
  <c r="AK208" i="1"/>
  <c r="AK204" i="1"/>
  <c r="AI208" i="1"/>
  <c r="D266" i="1"/>
  <c r="AJ266" i="1"/>
  <c r="A267" i="1"/>
  <c r="AM212" i="1" l="1"/>
  <c r="AM213" i="1" s="1"/>
  <c r="AM214" i="1" s="1"/>
  <c r="AM215" i="1" s="1"/>
  <c r="AM216" i="1"/>
  <c r="AK209" i="1"/>
  <c r="AK205" i="1"/>
  <c r="AI210" i="1"/>
  <c r="A268" i="1"/>
  <c r="AJ267" i="1"/>
  <c r="D267" i="1"/>
  <c r="AI209" i="1"/>
  <c r="AL213" i="1" l="1"/>
  <c r="AL211" i="1"/>
  <c r="AM217" i="1"/>
  <c r="AK216" i="1"/>
  <c r="AI213" i="1"/>
  <c r="A269" i="1"/>
  <c r="AI212" i="1"/>
  <c r="AI214" i="1"/>
  <c r="AK206" i="1"/>
  <c r="AJ268" i="1"/>
  <c r="AK210" i="1"/>
  <c r="AI216" i="1"/>
  <c r="D268" i="1"/>
  <c r="AL218" i="1" l="1"/>
  <c r="AM218" i="1"/>
  <c r="AM219" i="1" s="1"/>
  <c r="AK207" i="1"/>
  <c r="A270" i="1"/>
  <c r="AK211" i="1"/>
  <c r="AK217" i="1"/>
  <c r="AJ269" i="1"/>
  <c r="AI217" i="1"/>
  <c r="D269" i="1"/>
  <c r="AM220" i="1" l="1"/>
  <c r="AK218" i="1"/>
  <c r="AI218" i="1"/>
  <c r="D271" i="1"/>
  <c r="AJ271" i="1"/>
  <c r="D270" i="1"/>
  <c r="AJ270" i="1"/>
  <c r="AK212" i="1"/>
  <c r="A271" i="1"/>
  <c r="AM221" i="1" l="1"/>
  <c r="AM222" i="1" s="1"/>
  <c r="AI220" i="1"/>
  <c r="AK219" i="1"/>
  <c r="AI270" i="1"/>
  <c r="AK213" i="1"/>
  <c r="A272" i="1"/>
  <c r="AL222" i="1" l="1"/>
  <c r="AM223" i="1"/>
  <c r="AK215" i="1"/>
  <c r="AK220" i="1"/>
  <c r="A273" i="1"/>
  <c r="AJ272" i="1"/>
  <c r="D272" i="1"/>
  <c r="AK214" i="1"/>
  <c r="AI221" i="1"/>
  <c r="D273" i="1"/>
  <c r="AM224" i="1" l="1"/>
  <c r="AK221" i="1"/>
  <c r="AJ273" i="1"/>
  <c r="AI223" i="1"/>
  <c r="A274" i="1"/>
  <c r="AM225" i="1" l="1"/>
  <c r="AM226" i="1" s="1"/>
  <c r="AM227" i="1" s="1"/>
  <c r="AI224" i="1"/>
  <c r="AK222" i="1"/>
  <c r="D279" i="1"/>
  <c r="AJ274" i="1"/>
  <c r="D274" i="1"/>
  <c r="A275" i="1"/>
  <c r="AK225" i="1" l="1"/>
  <c r="AK223" i="1"/>
  <c r="AJ279" i="1"/>
  <c r="A276" i="1"/>
  <c r="D275" i="1"/>
  <c r="AI225" i="1"/>
  <c r="AJ275" i="1"/>
  <c r="AK226" i="1" l="1"/>
  <c r="AI226" i="1"/>
  <c r="AK224" i="1"/>
  <c r="A277" i="1"/>
  <c r="AJ276" i="1"/>
  <c r="D276" i="1"/>
  <c r="AL228" i="1" l="1"/>
  <c r="AM228" i="1"/>
  <c r="AI228" i="1"/>
  <c r="AK227" i="1"/>
  <c r="A278" i="1"/>
  <c r="AJ277" i="1"/>
  <c r="D277" i="1"/>
  <c r="AM229" i="1" l="1"/>
  <c r="AM230" i="1" s="1"/>
  <c r="AK228" i="1"/>
  <c r="A279" i="1"/>
  <c r="AJ278" i="1"/>
  <c r="A280" i="1"/>
  <c r="D278" i="1"/>
  <c r="AL230" i="1" l="1"/>
  <c r="AK229" i="1"/>
  <c r="D280" i="1"/>
  <c r="AI278" i="1"/>
  <c r="A281" i="1"/>
  <c r="AI229" i="1"/>
  <c r="AJ280" i="1"/>
  <c r="AM231" i="1" l="1"/>
  <c r="AM232" i="1" s="1"/>
  <c r="AI231" i="1"/>
  <c r="AI230" i="1"/>
  <c r="A282" i="1"/>
  <c r="D281" i="1"/>
  <c r="AJ281" i="1"/>
  <c r="AK230" i="1"/>
  <c r="A283" i="1"/>
  <c r="AJ283" i="1"/>
  <c r="AJ282" i="1"/>
  <c r="D282" i="1"/>
  <c r="AM233" i="1" l="1"/>
  <c r="D283" i="1"/>
  <c r="AI232" i="1"/>
  <c r="A284" i="1"/>
  <c r="AJ284" i="1"/>
  <c r="AK231" i="1"/>
  <c r="D284" i="1"/>
  <c r="AM234" i="1" l="1"/>
  <c r="AK233" i="1"/>
  <c r="AI233" i="1"/>
  <c r="A285" i="1"/>
  <c r="AK232" i="1"/>
  <c r="AJ285" i="1"/>
  <c r="A286" i="1"/>
  <c r="AI284" i="1"/>
  <c r="D285" i="1"/>
  <c r="D286" i="1"/>
  <c r="AM235" i="1" l="1"/>
  <c r="AK234" i="1"/>
  <c r="D291" i="1"/>
  <c r="AJ291" i="1"/>
  <c r="AI234" i="1"/>
  <c r="A287" i="1"/>
  <c r="AJ286" i="1"/>
  <c r="AM236" i="1" l="1"/>
  <c r="AI235" i="1"/>
  <c r="AK235" i="1"/>
  <c r="AJ287" i="1"/>
  <c r="AI236" i="1"/>
  <c r="A288" i="1"/>
  <c r="AJ288" i="1"/>
  <c r="A289" i="1"/>
  <c r="D287" i="1"/>
  <c r="A290" i="1"/>
  <c r="D289" i="1"/>
  <c r="D288" i="1"/>
  <c r="AJ289" i="1"/>
  <c r="AL237" i="1" l="1"/>
  <c r="AM237" i="1"/>
  <c r="AM238" i="1" s="1"/>
  <c r="AM239" i="1" s="1"/>
  <c r="AK236" i="1"/>
  <c r="AJ290" i="1"/>
  <c r="D290" i="1"/>
  <c r="A291" i="1"/>
  <c r="AI289" i="1"/>
  <c r="A292" i="1"/>
  <c r="AL238" i="1" l="1"/>
  <c r="A293" i="1"/>
  <c r="D293" i="1"/>
  <c r="AJ292" i="1"/>
  <c r="AK237" i="1"/>
  <c r="A294" i="1"/>
  <c r="AI237" i="1"/>
  <c r="AI238" i="1"/>
  <c r="D292" i="1"/>
  <c r="AJ293" i="1"/>
  <c r="AL240" i="1" l="1"/>
  <c r="AM240" i="1"/>
  <c r="AI240" i="1"/>
  <c r="AK238" i="1"/>
  <c r="D294" i="1"/>
  <c r="AJ294" i="1"/>
  <c r="A295" i="1"/>
  <c r="AM241" i="1" l="1"/>
  <c r="AK240" i="1"/>
  <c r="AJ295" i="1"/>
  <c r="AK239" i="1"/>
  <c r="A296" i="1"/>
  <c r="D295" i="1"/>
  <c r="AJ296" i="1"/>
  <c r="D296" i="1"/>
  <c r="A297" i="1"/>
  <c r="D297" i="1" s="1"/>
  <c r="AM242" i="1" l="1"/>
  <c r="AM243" i="1" s="1"/>
  <c r="AK241" i="1"/>
  <c r="AJ297" i="1"/>
  <c r="A298" i="1"/>
  <c r="AI241" i="1"/>
  <c r="D298" i="1"/>
  <c r="AI297" i="1"/>
  <c r="A299" i="1"/>
  <c r="AJ298" i="1"/>
  <c r="AM244" i="1" l="1"/>
  <c r="AK242" i="1"/>
  <c r="AI242" i="1"/>
  <c r="D299" i="1"/>
  <c r="A300" i="1"/>
  <c r="AJ299" i="1"/>
  <c r="AL244" i="1" l="1"/>
  <c r="AM245" i="1"/>
  <c r="AK243" i="1"/>
  <c r="AJ300" i="1"/>
  <c r="D300" i="1"/>
  <c r="AI244" i="1"/>
  <c r="A301" i="1"/>
  <c r="AM246" i="1" l="1"/>
  <c r="AI245" i="1"/>
  <c r="D301" i="1"/>
  <c r="A302" i="1"/>
  <c r="AJ301" i="1"/>
  <c r="AK244" i="1"/>
  <c r="AM247" i="1" l="1"/>
  <c r="AK245" i="1"/>
  <c r="AK246" i="1"/>
  <c r="AI246" i="1"/>
  <c r="AJ302" i="1"/>
  <c r="D302" i="1"/>
  <c r="A303" i="1"/>
  <c r="AL248" i="1" l="1"/>
  <c r="AM248" i="1"/>
  <c r="AJ303" i="1"/>
  <c r="D303" i="1"/>
  <c r="AI247" i="1"/>
  <c r="AK247" i="1"/>
  <c r="A304" i="1"/>
  <c r="AI302" i="1"/>
  <c r="AL249" i="1" l="1"/>
  <c r="AM249" i="1"/>
  <c r="AK248" i="1"/>
  <c r="A305" i="1"/>
  <c r="AI248" i="1"/>
  <c r="D304" i="1"/>
  <c r="AJ304" i="1"/>
  <c r="AM250" i="1" l="1"/>
  <c r="AM251" i="1" s="1"/>
  <c r="AK249" i="1"/>
  <c r="AI249" i="1"/>
  <c r="D305" i="1"/>
  <c r="A306" i="1"/>
  <c r="AJ305" i="1"/>
  <c r="AI304" i="1"/>
  <c r="AL251" i="1" l="1"/>
  <c r="AK250" i="1"/>
  <c r="D306" i="1"/>
  <c r="AI250" i="1"/>
  <c r="A307" i="1"/>
  <c r="AJ306" i="1"/>
  <c r="AM252" i="1" l="1"/>
  <c r="AM253" i="1" s="1"/>
  <c r="AK251" i="1"/>
  <c r="AI251" i="1"/>
  <c r="AI252" i="1"/>
  <c r="AI306" i="1"/>
  <c r="AJ307" i="1"/>
  <c r="A308" i="1"/>
  <c r="D307" i="1"/>
  <c r="AL253" i="1" l="1"/>
  <c r="AM254" i="1"/>
  <c r="AK252" i="1"/>
  <c r="A309" i="1"/>
  <c r="D308" i="1"/>
  <c r="AJ308" i="1"/>
  <c r="AL254" i="1" l="1"/>
  <c r="AM255" i="1"/>
  <c r="AI254" i="1"/>
  <c r="A310" i="1"/>
  <c r="AI308" i="1"/>
  <c r="AK253" i="1"/>
  <c r="D309" i="1"/>
  <c r="AJ309" i="1"/>
  <c r="AM256" i="1" l="1"/>
  <c r="AK254" i="1"/>
  <c r="D310" i="1"/>
  <c r="A311" i="1"/>
  <c r="AJ310" i="1"/>
  <c r="AI255" i="1"/>
  <c r="AM257" i="1" l="1"/>
  <c r="AK255" i="1"/>
  <c r="A312" i="1"/>
  <c r="D311" i="1"/>
  <c r="AJ311" i="1"/>
  <c r="AK256" i="1"/>
  <c r="AI256" i="1"/>
  <c r="AV256" i="1" l="1"/>
  <c r="AL258" i="1"/>
  <c r="AM258" i="1"/>
  <c r="AM259" i="1" s="1"/>
  <c r="AJ313" i="1"/>
  <c r="D312" i="1"/>
  <c r="AK257" i="1"/>
  <c r="A313" i="1"/>
  <c r="AJ312" i="1"/>
  <c r="AI257" i="1"/>
  <c r="AX256" i="1" l="1"/>
  <c r="AW256" i="1"/>
  <c r="AM260" i="1"/>
  <c r="D313" i="1"/>
  <c r="AI258" i="1"/>
  <c r="AK258" i="1"/>
  <c r="A314" i="1"/>
  <c r="AJ314" i="1"/>
  <c r="D314" i="1"/>
  <c r="AM261" i="1" l="1"/>
  <c r="AI260" i="1"/>
  <c r="AK260" i="1"/>
  <c r="AK259" i="1"/>
  <c r="A315" i="1"/>
  <c r="AL262" i="1" l="1"/>
  <c r="AM262" i="1"/>
  <c r="AK261" i="1"/>
  <c r="D315" i="1"/>
  <c r="AI261" i="1"/>
  <c r="A316" i="1"/>
  <c r="AJ316" i="1"/>
  <c r="AJ315" i="1"/>
  <c r="AM263" i="1" l="1"/>
  <c r="AM264" i="1" s="1"/>
  <c r="AK262" i="1"/>
  <c r="AV262" i="1" s="1"/>
  <c r="AX262" i="1" s="1"/>
  <c r="AI262" i="1"/>
  <c r="AJ339" i="1"/>
  <c r="D339" i="1"/>
  <c r="AW339" i="1" s="1"/>
  <c r="A317" i="1"/>
  <c r="D316" i="1"/>
  <c r="AU339" i="1" l="1"/>
  <c r="AL264" i="1"/>
  <c r="AK263" i="1"/>
  <c r="AI339" i="1"/>
  <c r="AK264" i="1"/>
  <c r="A318" i="1"/>
  <c r="D317" i="1"/>
  <c r="AI263" i="1"/>
  <c r="AJ317" i="1"/>
  <c r="AM265" i="1" l="1"/>
  <c r="AM266" i="1" s="1"/>
  <c r="AI264" i="1"/>
  <c r="AJ318" i="1"/>
  <c r="A319" i="1"/>
  <c r="D318" i="1"/>
  <c r="AL266" i="1" l="1"/>
  <c r="AJ319" i="1"/>
  <c r="AK265" i="1"/>
  <c r="D319" i="1"/>
  <c r="AI265" i="1"/>
  <c r="A320" i="1"/>
  <c r="AL267" i="1" l="1"/>
  <c r="AM267" i="1"/>
  <c r="AJ320" i="1"/>
  <c r="AI266" i="1"/>
  <c r="AK266" i="1"/>
  <c r="A321" i="1"/>
  <c r="D320" i="1"/>
  <c r="AL268" i="1" l="1"/>
  <c r="AM268" i="1"/>
  <c r="D321" i="1"/>
  <c r="AI267" i="1"/>
  <c r="A322" i="1"/>
  <c r="AK267" i="1"/>
  <c r="AJ321" i="1"/>
  <c r="AJ322" i="1"/>
  <c r="AL269" i="1" l="1"/>
  <c r="AM269" i="1"/>
  <c r="AM270" i="1" s="1"/>
  <c r="D322" i="1"/>
  <c r="AK268" i="1"/>
  <c r="A323" i="1"/>
  <c r="AI268" i="1"/>
  <c r="AL270" i="1" l="1"/>
  <c r="AM271" i="1"/>
  <c r="AJ323" i="1"/>
  <c r="AI322" i="1"/>
  <c r="AK269" i="1"/>
  <c r="A324" i="1"/>
  <c r="AI269" i="1"/>
  <c r="D323" i="1"/>
  <c r="AM272" i="1" l="1"/>
  <c r="AM273" i="1" s="1"/>
  <c r="D324" i="1"/>
  <c r="AJ324" i="1"/>
  <c r="AI271" i="1"/>
  <c r="AK270" i="1"/>
  <c r="A325" i="1"/>
  <c r="AU324" i="1" l="1"/>
  <c r="AM274" i="1"/>
  <c r="AK271" i="1"/>
  <c r="AJ325" i="1"/>
  <c r="AI272" i="1"/>
  <c r="D325" i="1"/>
  <c r="A326" i="1"/>
  <c r="AL274" i="1" l="1"/>
  <c r="AK272" i="1"/>
  <c r="D326" i="1"/>
  <c r="AI273" i="1"/>
  <c r="AJ326" i="1"/>
  <c r="AI274" i="1"/>
  <c r="A327" i="1"/>
  <c r="AM275" i="1" l="1"/>
  <c r="D327" i="1"/>
  <c r="A328" i="1"/>
  <c r="AJ327" i="1"/>
  <c r="AK273" i="1"/>
  <c r="AL276" i="1" l="1"/>
  <c r="AM276" i="1"/>
  <c r="D328" i="1"/>
  <c r="AK274" i="1"/>
  <c r="AI275" i="1"/>
  <c r="AJ328" i="1"/>
  <c r="A329" i="1"/>
  <c r="D329" i="1" s="1"/>
  <c r="AJ329" i="1"/>
  <c r="AM277" i="1" l="1"/>
  <c r="AM278" i="1" s="1"/>
  <c r="A330" i="1"/>
  <c r="AI276" i="1"/>
  <c r="AK275" i="1"/>
  <c r="AL278" i="1" l="1"/>
  <c r="AM279" i="1"/>
  <c r="AM280" i="1" s="1"/>
  <c r="D330" i="1"/>
  <c r="AK276" i="1"/>
  <c r="AJ330" i="1"/>
  <c r="AI277" i="1"/>
  <c r="A331" i="1"/>
  <c r="AM281" i="1" l="1"/>
  <c r="AI279" i="1"/>
  <c r="D331" i="1"/>
  <c r="AI280" i="1"/>
  <c r="AJ331" i="1"/>
  <c r="A332" i="1"/>
  <c r="AK277" i="1"/>
  <c r="AL281" i="1" l="1"/>
  <c r="AK279" i="1"/>
  <c r="AJ332" i="1"/>
  <c r="D332" i="1"/>
  <c r="AK278" i="1"/>
  <c r="A333" i="1"/>
  <c r="AM282" i="1" l="1"/>
  <c r="AK280" i="1"/>
  <c r="D333" i="1"/>
  <c r="AI282" i="1"/>
  <c r="AI281" i="1"/>
  <c r="A334" i="1"/>
  <c r="AJ333" i="1"/>
  <c r="AL283" i="1" l="1"/>
  <c r="AM283" i="1"/>
  <c r="AM284" i="1" s="1"/>
  <c r="AJ334" i="1"/>
  <c r="AK281" i="1"/>
  <c r="A335" i="1"/>
  <c r="D334" i="1"/>
  <c r="AL284" i="1" l="1"/>
  <c r="AM285" i="1"/>
  <c r="AM286" i="1" s="1"/>
  <c r="D335" i="1"/>
  <c r="AJ335" i="1"/>
  <c r="AK282" i="1"/>
  <c r="A336" i="1"/>
  <c r="AI283" i="1"/>
  <c r="AL285" i="1" l="1"/>
  <c r="AI285" i="1"/>
  <c r="AJ336" i="1"/>
  <c r="AI335" i="1"/>
  <c r="AK283" i="1"/>
  <c r="AK284" i="1"/>
  <c r="D336" i="1"/>
  <c r="A337" i="1"/>
  <c r="AL287" i="1" l="1"/>
  <c r="AM287" i="1"/>
  <c r="D337" i="1"/>
  <c r="AK285" i="1"/>
  <c r="AI286" i="1"/>
  <c r="AJ337" i="1"/>
  <c r="A338" i="1"/>
  <c r="AL288" i="1" l="1"/>
  <c r="AM288" i="1"/>
  <c r="AM289" i="1" s="1"/>
  <c r="D338" i="1"/>
  <c r="AK286" i="1"/>
  <c r="AI287" i="1"/>
  <c r="A339" i="1"/>
  <c r="AJ338" i="1"/>
  <c r="A340" i="1"/>
  <c r="AM340" i="1" l="1"/>
  <c r="AL289" i="1"/>
  <c r="D340" i="1"/>
  <c r="AK287" i="1"/>
  <c r="AI288" i="1"/>
  <c r="A341" i="1"/>
  <c r="AJ340" i="1"/>
  <c r="AK340" i="1" l="1"/>
  <c r="AM290" i="1"/>
  <c r="AJ341" i="1"/>
  <c r="AI340" i="1"/>
  <c r="AK288" i="1"/>
  <c r="D341" i="1"/>
  <c r="A342" i="1"/>
  <c r="AJ342" i="1"/>
  <c r="D342" i="1"/>
  <c r="A343" i="1"/>
  <c r="AL291" i="1" l="1"/>
  <c r="AM291" i="1"/>
  <c r="AM292" i="1" s="1"/>
  <c r="D348" i="1"/>
  <c r="AJ348" i="1"/>
  <c r="AK289" i="1"/>
  <c r="D343" i="1"/>
  <c r="AJ343" i="1"/>
  <c r="A344" i="1"/>
  <c r="D344" i="1" s="1"/>
  <c r="AK290" i="1"/>
  <c r="AI290" i="1"/>
  <c r="AI291" i="1" l="1"/>
  <c r="AK291" i="1"/>
  <c r="AJ350" i="1"/>
  <c r="A345" i="1"/>
  <c r="AJ344" i="1"/>
  <c r="D350" i="1" l="1"/>
  <c r="AL293" i="1"/>
  <c r="AM293" i="1"/>
  <c r="AM294" i="1" s="1"/>
  <c r="AK292" i="1"/>
  <c r="AJ345" i="1"/>
  <c r="D345" i="1"/>
  <c r="A346" i="1"/>
  <c r="AI292" i="1"/>
  <c r="AL295" i="1" l="1"/>
  <c r="AL294" i="1"/>
  <c r="AM295" i="1"/>
  <c r="AM296" i="1" s="1"/>
  <c r="AM297" i="1" s="1"/>
  <c r="A347" i="1"/>
  <c r="AJ346" i="1"/>
  <c r="AJ347" i="1"/>
  <c r="AK293" i="1"/>
  <c r="AI294" i="1"/>
  <c r="AI293" i="1"/>
  <c r="D346" i="1"/>
  <c r="AL296" i="1" l="1"/>
  <c r="AM298" i="1"/>
  <c r="D347" i="1"/>
  <c r="AI346" i="1"/>
  <c r="AK294" i="1"/>
  <c r="AI295" i="1"/>
  <c r="A348" i="1"/>
  <c r="AL297" i="1" l="1"/>
  <c r="AM299" i="1"/>
  <c r="D361" i="1"/>
  <c r="AJ361" i="1"/>
  <c r="AK295" i="1"/>
  <c r="A349" i="1"/>
  <c r="AI296" i="1"/>
  <c r="AL300" i="1" l="1"/>
  <c r="AL299" i="1"/>
  <c r="AM300" i="1"/>
  <c r="AM301" i="1" s="1"/>
  <c r="AM302" i="1" s="1"/>
  <c r="D365" i="1"/>
  <c r="AJ365" i="1"/>
  <c r="AI298" i="1"/>
  <c r="AK296" i="1"/>
  <c r="D349" i="1"/>
  <c r="AJ349" i="1"/>
  <c r="A350" i="1"/>
  <c r="AI299" i="1"/>
  <c r="AI300" i="1"/>
  <c r="AL302" i="1" l="1"/>
  <c r="AK297" i="1"/>
  <c r="AI301" i="1"/>
  <c r="A351" i="1"/>
  <c r="D351" i="1"/>
  <c r="AJ351" i="1"/>
  <c r="A352" i="1"/>
  <c r="D352" i="1"/>
  <c r="AJ352" i="1"/>
  <c r="AM303" i="1" l="1"/>
  <c r="AM304" i="1" s="1"/>
  <c r="AI303" i="1"/>
  <c r="A353" i="1"/>
  <c r="AI351" i="1"/>
  <c r="AK298" i="1"/>
  <c r="A354" i="1"/>
  <c r="D353" i="1"/>
  <c r="AM305" i="1" l="1"/>
  <c r="AM306" i="1" s="1"/>
  <c r="AJ353" i="1"/>
  <c r="AJ354" i="1"/>
  <c r="A355" i="1"/>
  <c r="AK299" i="1"/>
  <c r="D354" i="1"/>
  <c r="AJ355" i="1"/>
  <c r="D373" i="1" l="1"/>
  <c r="AJ373" i="1"/>
  <c r="AK303" i="1"/>
  <c r="A356" i="1"/>
  <c r="D355" i="1"/>
  <c r="AI305" i="1"/>
  <c r="AK300" i="1"/>
  <c r="AI354" i="1"/>
  <c r="D356" i="1"/>
  <c r="AJ356" i="1"/>
  <c r="A357" i="1"/>
  <c r="AK301" i="1"/>
  <c r="AM307" i="1" l="1"/>
  <c r="AM308" i="1" s="1"/>
  <c r="AK304" i="1"/>
  <c r="AI373" i="1"/>
  <c r="AJ357" i="1"/>
  <c r="D357" i="1"/>
  <c r="AI307" i="1"/>
  <c r="AK302" i="1"/>
  <c r="AK305" i="1"/>
  <c r="A358" i="1"/>
  <c r="D358" i="1" s="1"/>
  <c r="A359" i="1"/>
  <c r="AI356" i="1"/>
  <c r="AJ358" i="1"/>
  <c r="AM309" i="1" l="1"/>
  <c r="A360" i="1"/>
  <c r="AI309" i="1"/>
  <c r="D359" i="1"/>
  <c r="AK306" i="1"/>
  <c r="AJ359" i="1"/>
  <c r="AL310" i="1" l="1"/>
  <c r="AM310" i="1"/>
  <c r="AJ378" i="1"/>
  <c r="D378" i="1"/>
  <c r="AK307" i="1"/>
  <c r="D360" i="1"/>
  <c r="A361" i="1"/>
  <c r="AJ360" i="1"/>
  <c r="AM311" i="1" l="1"/>
  <c r="AJ397" i="1"/>
  <c r="AI310" i="1"/>
  <c r="A362" i="1"/>
  <c r="AK308" i="1"/>
  <c r="AI360" i="1"/>
  <c r="AJ362" i="1"/>
  <c r="D362" i="1"/>
  <c r="AL312" i="1" l="1"/>
  <c r="AM312" i="1"/>
  <c r="AM313" i="1" s="1"/>
  <c r="D397" i="1"/>
  <c r="AW397" i="1" s="1"/>
  <c r="A363" i="1"/>
  <c r="AK309" i="1"/>
  <c r="AI311" i="1"/>
  <c r="AU397" i="1" l="1"/>
  <c r="AL313" i="1"/>
  <c r="D382" i="1"/>
  <c r="AJ382" i="1"/>
  <c r="D363" i="1"/>
  <c r="A364" i="1"/>
  <c r="AK310" i="1"/>
  <c r="AK311" i="1" s="1"/>
  <c r="AI312" i="1"/>
  <c r="AJ363" i="1"/>
  <c r="D364" i="1"/>
  <c r="AM314" i="1" l="1"/>
  <c r="AK313" i="1"/>
  <c r="AI313" i="1"/>
  <c r="AI363" i="1"/>
  <c r="AJ364" i="1"/>
  <c r="A365" i="1"/>
  <c r="AK312" i="1"/>
  <c r="AM315" i="1" l="1"/>
  <c r="AK314" i="1"/>
  <c r="AJ386" i="1"/>
  <c r="A366" i="1"/>
  <c r="AJ366" i="1" s="1"/>
  <c r="AI314" i="1"/>
  <c r="D366" i="1"/>
  <c r="A367" i="1"/>
  <c r="AM316" i="1" l="1"/>
  <c r="D386" i="1"/>
  <c r="D367" i="1"/>
  <c r="AI315" i="1"/>
  <c r="A368" i="1"/>
  <c r="AJ367" i="1"/>
  <c r="AK315" i="1"/>
  <c r="D368" i="1"/>
  <c r="AM317" i="1" l="1"/>
  <c r="AK316" i="1"/>
  <c r="AI316" i="1"/>
  <c r="AJ368" i="1"/>
  <c r="A369" i="1"/>
  <c r="AL318" i="1" l="1"/>
  <c r="AM318" i="1"/>
  <c r="AJ369" i="1"/>
  <c r="D369" i="1"/>
  <c r="AI317" i="1"/>
  <c r="A370" i="1"/>
  <c r="AK317" i="1"/>
  <c r="AI318" i="1"/>
  <c r="AM319" i="1" l="1"/>
  <c r="AK318" i="1"/>
  <c r="D370" i="1"/>
  <c r="AJ370" i="1"/>
  <c r="A371" i="1"/>
  <c r="AM320" i="1" l="1"/>
  <c r="AK319" i="1"/>
  <c r="AI319" i="1"/>
  <c r="AJ371" i="1"/>
  <c r="D371" i="1"/>
  <c r="A372" i="1"/>
  <c r="D372" i="1"/>
  <c r="AL321" i="1" l="1"/>
  <c r="AM321" i="1"/>
  <c r="AM322" i="1" s="1"/>
  <c r="AK320" i="1"/>
  <c r="AJ372" i="1"/>
  <c r="AI320" i="1"/>
  <c r="A373" i="1"/>
  <c r="AL322" i="1" l="1"/>
  <c r="AK321" i="1"/>
  <c r="A374" i="1"/>
  <c r="AI321" i="1"/>
  <c r="AM323" i="1" l="1"/>
  <c r="AJ405" i="1"/>
  <c r="AJ374" i="1"/>
  <c r="D374" i="1"/>
  <c r="AK322" i="1"/>
  <c r="A375" i="1"/>
  <c r="AL324" i="1" l="1"/>
  <c r="AM324" i="1"/>
  <c r="D405" i="1"/>
  <c r="AI323" i="1"/>
  <c r="AJ375" i="1"/>
  <c r="AK323" i="1"/>
  <c r="A376" i="1"/>
  <c r="AJ376" i="1"/>
  <c r="D376" i="1"/>
  <c r="D375" i="1"/>
  <c r="A377" i="1"/>
  <c r="D377" i="1"/>
  <c r="AJ377" i="1"/>
  <c r="AU405" i="1" l="1"/>
  <c r="AM325" i="1"/>
  <c r="AI324" i="1"/>
  <c r="AK324" i="1"/>
  <c r="A378" i="1"/>
  <c r="A379" i="1"/>
  <c r="AV324" i="1" l="1"/>
  <c r="AK325" i="1"/>
  <c r="AM326" i="1"/>
  <c r="AI325" i="1"/>
  <c r="AJ379" i="1"/>
  <c r="A380" i="1"/>
  <c r="D379" i="1"/>
  <c r="D380" i="1"/>
  <c r="AX324" i="1" l="1"/>
  <c r="AW324" i="1"/>
  <c r="AL327" i="1"/>
  <c r="AM327" i="1"/>
  <c r="AJ414" i="1"/>
  <c r="D414" i="1"/>
  <c r="AJ380" i="1"/>
  <c r="AI326" i="1"/>
  <c r="A381" i="1"/>
  <c r="AK326" i="1"/>
  <c r="D381" i="1"/>
  <c r="AJ381" i="1"/>
  <c r="A382" i="1"/>
  <c r="A383" i="1"/>
  <c r="D383" i="1"/>
  <c r="AJ383" i="1"/>
  <c r="A384" i="1"/>
  <c r="AU414" i="1" l="1"/>
  <c r="AL328" i="1"/>
  <c r="AM328" i="1"/>
  <c r="AI327" i="1"/>
  <c r="AJ384" i="1"/>
  <c r="A385" i="1"/>
  <c r="D384" i="1"/>
  <c r="AI381" i="1"/>
  <c r="AK327" i="1"/>
  <c r="D385" i="1"/>
  <c r="AL329" i="1" l="1"/>
  <c r="AM329" i="1"/>
  <c r="AM330" i="1" s="1"/>
  <c r="AJ418" i="1"/>
  <c r="D418" i="1"/>
  <c r="AK328" i="1"/>
  <c r="A386" i="1"/>
  <c r="A387" i="1"/>
  <c r="D387" i="1"/>
  <c r="AI328" i="1"/>
  <c r="AJ385" i="1"/>
  <c r="A388" i="1"/>
  <c r="D388" i="1" s="1"/>
  <c r="AJ388" i="1"/>
  <c r="AJ387" i="1"/>
  <c r="AU418" i="1" l="1"/>
  <c r="AI329" i="1"/>
  <c r="A389" i="1"/>
  <c r="AK329" i="1"/>
  <c r="AL331" i="1" l="1"/>
  <c r="AM331" i="1"/>
  <c r="AJ389" i="1"/>
  <c r="D389" i="1"/>
  <c r="AI330" i="1"/>
  <c r="A390" i="1"/>
  <c r="AJ390" i="1"/>
  <c r="AK330" i="1"/>
  <c r="D390" i="1"/>
  <c r="A391" i="1"/>
  <c r="AJ391" i="1"/>
  <c r="D391" i="1"/>
  <c r="A392" i="1"/>
  <c r="AJ392" i="1"/>
  <c r="D392" i="1"/>
  <c r="A393" i="1"/>
  <c r="D393" i="1"/>
  <c r="AJ393" i="1"/>
  <c r="AL332" i="1" l="1"/>
  <c r="AM332" i="1"/>
  <c r="AK331" i="1"/>
  <c r="A394" i="1"/>
  <c r="D394" i="1"/>
  <c r="AI331" i="1"/>
  <c r="A395" i="1"/>
  <c r="AI389" i="1"/>
  <c r="AM333" i="1" l="1"/>
  <c r="AI332" i="1"/>
  <c r="AK332" i="1"/>
  <c r="D395" i="1"/>
  <c r="AJ395" i="1"/>
  <c r="AJ394" i="1"/>
  <c r="A396" i="1"/>
  <c r="AL334" i="1" l="1"/>
  <c r="AM334" i="1"/>
  <c r="AM335" i="1" s="1"/>
  <c r="AK333" i="1"/>
  <c r="D396" i="1"/>
  <c r="AI333" i="1"/>
  <c r="AI334" i="1"/>
  <c r="AJ396" i="1"/>
  <c r="A397" i="1"/>
  <c r="AM336" i="1" l="1"/>
  <c r="AK334" i="1"/>
  <c r="A398" i="1"/>
  <c r="AL337" i="1" l="1"/>
  <c r="AM337" i="1"/>
  <c r="AM338" i="1" s="1"/>
  <c r="AM339" i="1" s="1"/>
  <c r="D428" i="1"/>
  <c r="AJ428" i="1"/>
  <c r="AJ398" i="1"/>
  <c r="AI337" i="1"/>
  <c r="D398" i="1"/>
  <c r="AK335" i="1"/>
  <c r="A399" i="1"/>
  <c r="AJ399" i="1" s="1"/>
  <c r="A400" i="1"/>
  <c r="D399" i="1"/>
  <c r="AI336" i="1"/>
  <c r="AL339" i="1" l="1"/>
  <c r="D433" i="1"/>
  <c r="AW433" i="1" s="1"/>
  <c r="AJ400" i="1"/>
  <c r="AK336" i="1"/>
  <c r="AI338" i="1"/>
  <c r="D400" i="1"/>
  <c r="A401" i="1"/>
  <c r="AM341" i="1" l="1"/>
  <c r="AJ433" i="1"/>
  <c r="AK339" i="1"/>
  <c r="D401" i="1"/>
  <c r="AI400" i="1"/>
  <c r="A402" i="1"/>
  <c r="AK337" i="1"/>
  <c r="AJ401" i="1"/>
  <c r="AK338" i="1"/>
  <c r="D402" i="1"/>
  <c r="AJ402" i="1"/>
  <c r="AV339" i="1" l="1"/>
  <c r="AX339" i="1" s="1"/>
  <c r="AL342" i="1"/>
  <c r="AM342" i="1"/>
  <c r="A403" i="1"/>
  <c r="AI341" i="1"/>
  <c r="D403" i="1"/>
  <c r="AK341" i="1"/>
  <c r="AL343" i="1" l="1"/>
  <c r="AM343" i="1"/>
  <c r="AM344" i="1" s="1"/>
  <c r="AJ435" i="1"/>
  <c r="D435" i="1"/>
  <c r="AJ403" i="1"/>
  <c r="AI343" i="1"/>
  <c r="A404" i="1"/>
  <c r="AK342" i="1"/>
  <c r="AI342" i="1"/>
  <c r="A405" i="1"/>
  <c r="D404" i="1"/>
  <c r="AL345" i="1" l="1"/>
  <c r="AM345" i="1"/>
  <c r="AM346" i="1" s="1"/>
  <c r="AK343" i="1"/>
  <c r="AI344" i="1"/>
  <c r="AJ404" i="1"/>
  <c r="AK344" i="1"/>
  <c r="A406" i="1"/>
  <c r="D438" i="1" l="1"/>
  <c r="AL346" i="1"/>
  <c r="AM347" i="1"/>
  <c r="AJ438" i="1"/>
  <c r="D406" i="1"/>
  <c r="A407" i="1"/>
  <c r="AI345" i="1"/>
  <c r="AJ406" i="1"/>
  <c r="AK345" i="1"/>
  <c r="AM348" i="1" l="1"/>
  <c r="A408" i="1"/>
  <c r="AI347" i="1"/>
  <c r="AK346" i="1"/>
  <c r="D407" i="1"/>
  <c r="AJ407" i="1"/>
  <c r="AM349" i="1" l="1"/>
  <c r="AI348" i="1"/>
  <c r="A409" i="1"/>
  <c r="AJ408" i="1"/>
  <c r="AJ409" i="1"/>
  <c r="D408" i="1"/>
  <c r="AK347" i="1"/>
  <c r="AI349" i="1"/>
  <c r="AL350" i="1" l="1"/>
  <c r="AM350" i="1"/>
  <c r="AM351" i="1" s="1"/>
  <c r="D442" i="1"/>
  <c r="AK348" i="1"/>
  <c r="AJ442" i="1"/>
  <c r="D409" i="1"/>
  <c r="A410" i="1"/>
  <c r="AM352" i="1" l="1"/>
  <c r="AK349" i="1"/>
  <c r="AI350" i="1"/>
  <c r="A411" i="1"/>
  <c r="D411" i="1"/>
  <c r="D410" i="1"/>
  <c r="AJ410" i="1"/>
  <c r="AM353" i="1" l="1"/>
  <c r="AM354" i="1" s="1"/>
  <c r="AK351" i="1"/>
  <c r="AK350" i="1"/>
  <c r="AJ411" i="1"/>
  <c r="A412" i="1"/>
  <c r="AL353" i="1" l="1"/>
  <c r="AK352" i="1"/>
  <c r="D412" i="1"/>
  <c r="AI352" i="1"/>
  <c r="AJ412" i="1"/>
  <c r="A413" i="1"/>
  <c r="AI353" i="1"/>
  <c r="D446" i="1" l="1"/>
  <c r="AJ446" i="1"/>
  <c r="D413" i="1"/>
  <c r="A414" i="1"/>
  <c r="AJ413" i="1"/>
  <c r="AK353" i="1"/>
  <c r="AL355" i="1" l="1"/>
  <c r="AM355" i="1"/>
  <c r="AM356" i="1" s="1"/>
  <c r="AI446" i="1"/>
  <c r="AI413" i="1"/>
  <c r="A415" i="1"/>
  <c r="AK354" i="1"/>
  <c r="AL356" i="1" l="1"/>
  <c r="AM357" i="1"/>
  <c r="D415" i="1"/>
  <c r="AJ415" i="1"/>
  <c r="AI355" i="1"/>
  <c r="AK355" i="1"/>
  <c r="A416" i="1"/>
  <c r="A417" i="1" s="1"/>
  <c r="D416" i="1"/>
  <c r="AJ416" i="1"/>
  <c r="AL358" i="1" l="1"/>
  <c r="AM358" i="1"/>
  <c r="AJ450" i="1"/>
  <c r="D450" i="1"/>
  <c r="AJ417" i="1"/>
  <c r="AI357" i="1"/>
  <c r="A418" i="1"/>
  <c r="D417" i="1"/>
  <c r="AK356" i="1"/>
  <c r="A419" i="1"/>
  <c r="D419" i="1"/>
  <c r="AJ419" i="1"/>
  <c r="AL359" i="1" l="1"/>
  <c r="AM359" i="1"/>
  <c r="AM360" i="1" s="1"/>
  <c r="AK357" i="1"/>
  <c r="AK358" i="1"/>
  <c r="AI358" i="1"/>
  <c r="A420" i="1"/>
  <c r="D420" i="1"/>
  <c r="A421" i="1"/>
  <c r="AJ420" i="1"/>
  <c r="AL360" i="1" l="1"/>
  <c r="AJ453" i="1"/>
  <c r="D453" i="1"/>
  <c r="AJ421" i="1"/>
  <c r="AI359" i="1"/>
  <c r="AK359" i="1"/>
  <c r="A422" i="1"/>
  <c r="D422" i="1" s="1"/>
  <c r="D421" i="1"/>
  <c r="A423" i="1"/>
  <c r="AL361" i="1" l="1"/>
  <c r="AM361" i="1"/>
  <c r="AJ422" i="1"/>
  <c r="A424" i="1"/>
  <c r="D424" i="1"/>
  <c r="AJ423" i="1"/>
  <c r="D423" i="1"/>
  <c r="AI421" i="1"/>
  <c r="A425" i="1"/>
  <c r="AJ424" i="1"/>
  <c r="AK360" i="1"/>
  <c r="D425" i="1"/>
  <c r="AM362" i="1" l="1"/>
  <c r="AM363" i="1" s="1"/>
  <c r="AI361" i="1"/>
  <c r="AK361" i="1"/>
  <c r="AJ425" i="1"/>
  <c r="A426" i="1"/>
  <c r="AI424" i="1"/>
  <c r="AI362" i="1"/>
  <c r="AJ426" i="1"/>
  <c r="D426" i="1"/>
  <c r="A427" i="1"/>
  <c r="AJ427" i="1"/>
  <c r="A428" i="1"/>
  <c r="AM364" i="1" l="1"/>
  <c r="AK362" i="1"/>
  <c r="D427" i="1"/>
  <c r="A429" i="1"/>
  <c r="AK363" i="1"/>
  <c r="AL365" i="1" l="1"/>
  <c r="AM365" i="1"/>
  <c r="D459" i="1"/>
  <c r="AI365" i="1"/>
  <c r="AJ459" i="1"/>
  <c r="AJ429" i="1"/>
  <c r="D429" i="1"/>
  <c r="AK364" i="1"/>
  <c r="A430" i="1"/>
  <c r="AI364" i="1"/>
  <c r="AM366" i="1" l="1"/>
  <c r="AK365" i="1"/>
  <c r="AJ430" i="1"/>
  <c r="D430" i="1"/>
  <c r="A431" i="1"/>
  <c r="AM367" i="1" l="1"/>
  <c r="AK366" i="1"/>
  <c r="D461" i="1"/>
  <c r="AJ461" i="1"/>
  <c r="D431" i="1"/>
  <c r="AJ431" i="1"/>
  <c r="A432" i="1"/>
  <c r="AI366" i="1"/>
  <c r="AM368" i="1" l="1"/>
  <c r="AJ432" i="1"/>
  <c r="AK367" i="1"/>
  <c r="AI431" i="1"/>
  <c r="D432" i="1"/>
  <c r="A433" i="1"/>
  <c r="AI367" i="1"/>
  <c r="AL369" i="1" l="1"/>
  <c r="AM369" i="1"/>
  <c r="AM370" i="1" s="1"/>
  <c r="A434" i="1"/>
  <c r="AK368" i="1"/>
  <c r="AI368" i="1"/>
  <c r="D434" i="1"/>
  <c r="AJ434" i="1"/>
  <c r="AM371" i="1" l="1"/>
  <c r="A435" i="1"/>
  <c r="AK369" i="1"/>
  <c r="AI369" i="1"/>
  <c r="A436" i="1"/>
  <c r="D436" i="1"/>
  <c r="AJ436" i="1"/>
  <c r="A437" i="1"/>
  <c r="D437" i="1"/>
  <c r="AJ437" i="1"/>
  <c r="A438" i="1"/>
  <c r="A439" i="1" s="1"/>
  <c r="AL371" i="1" l="1"/>
  <c r="AI436" i="1"/>
  <c r="AK370" i="1"/>
  <c r="AJ439" i="1"/>
  <c r="A440" i="1"/>
  <c r="D439" i="1"/>
  <c r="AI370" i="1"/>
  <c r="AL372" i="1" l="1"/>
  <c r="AM372" i="1"/>
  <c r="AM373" i="1" s="1"/>
  <c r="AJ440" i="1"/>
  <c r="A441" i="1"/>
  <c r="AI371" i="1"/>
  <c r="AK371" i="1"/>
  <c r="D440" i="1"/>
  <c r="AM374" i="1" l="1"/>
  <c r="D441" i="1"/>
  <c r="AI440" i="1"/>
  <c r="AK372" i="1"/>
  <c r="AJ441" i="1"/>
  <c r="A442" i="1"/>
  <c r="AI372" i="1"/>
  <c r="AM375" i="1" l="1"/>
  <c r="AK373" i="1"/>
  <c r="A443" i="1"/>
  <c r="AI374" i="1"/>
  <c r="D443" i="1"/>
  <c r="AM376" i="1" l="1"/>
  <c r="AK374" i="1"/>
  <c r="AJ443" i="1"/>
  <c r="AI375" i="1"/>
  <c r="A444" i="1"/>
  <c r="AL377" i="1" l="1"/>
  <c r="AM377" i="1"/>
  <c r="D482" i="1"/>
  <c r="AW482" i="1" s="1"/>
  <c r="AK375" i="1"/>
  <c r="D444" i="1"/>
  <c r="AJ444" i="1"/>
  <c r="A445" i="1"/>
  <c r="AI376" i="1"/>
  <c r="AM378" i="1" l="1"/>
  <c r="AJ482" i="1"/>
  <c r="AI378" i="1"/>
  <c r="AJ445" i="1"/>
  <c r="A446" i="1"/>
  <c r="AK376" i="1"/>
  <c r="D445" i="1"/>
  <c r="AI377" i="1"/>
  <c r="AM379" i="1" l="1"/>
  <c r="AK378" i="1"/>
  <c r="AJ484" i="1"/>
  <c r="D484" i="1"/>
  <c r="A447" i="1"/>
  <c r="AK377" i="1"/>
  <c r="AW484" i="1" l="1"/>
  <c r="AL380" i="1"/>
  <c r="AM380" i="1"/>
  <c r="AM381" i="1" s="1"/>
  <c r="AK379" i="1"/>
  <c r="AI379" i="1"/>
  <c r="A448" i="1"/>
  <c r="AJ447" i="1"/>
  <c r="D447" i="1"/>
  <c r="AJ448" i="1"/>
  <c r="AM382" i="1" l="1"/>
  <c r="D448" i="1"/>
  <c r="A449" i="1"/>
  <c r="AK380" i="1"/>
  <c r="A450" i="1"/>
  <c r="AI380" i="1"/>
  <c r="AL382" i="1" l="1"/>
  <c r="AM383" i="1"/>
  <c r="AI382" i="1"/>
  <c r="AJ478" i="1"/>
  <c r="D478" i="1"/>
  <c r="A451" i="1"/>
  <c r="AJ451" i="1"/>
  <c r="AJ449" i="1"/>
  <c r="D449" i="1"/>
  <c r="AK381" i="1"/>
  <c r="AU478" i="1" l="1"/>
  <c r="AL384" i="1"/>
  <c r="AM384" i="1"/>
  <c r="AM385" i="1" s="1"/>
  <c r="AK382" i="1"/>
  <c r="A452" i="1"/>
  <c r="D451" i="1"/>
  <c r="A453" i="1"/>
  <c r="AI383" i="1"/>
  <c r="AI384" i="1"/>
  <c r="AJ452" i="1"/>
  <c r="A454" i="1"/>
  <c r="AJ454" i="1"/>
  <c r="AL386" i="1" l="1"/>
  <c r="AM386" i="1"/>
  <c r="AM387" i="1" s="1"/>
  <c r="AK383" i="1"/>
  <c r="D454" i="1"/>
  <c r="A455" i="1"/>
  <c r="D452" i="1"/>
  <c r="AI385" i="1"/>
  <c r="AU454" i="1" l="1"/>
  <c r="AM388" i="1"/>
  <c r="AM389" i="1" s="1"/>
  <c r="AI386" i="1"/>
  <c r="AI454" i="1"/>
  <c r="D455" i="1"/>
  <c r="AK384" i="1"/>
  <c r="AJ455" i="1"/>
  <c r="AI387" i="1"/>
  <c r="A456" i="1"/>
  <c r="AL388" i="1" l="1"/>
  <c r="AI388" i="1"/>
  <c r="A457" i="1"/>
  <c r="D456" i="1"/>
  <c r="AJ456" i="1"/>
  <c r="AK385" i="1"/>
  <c r="D457" i="1"/>
  <c r="AM390" i="1" l="1"/>
  <c r="AK386" i="1"/>
  <c r="AJ457" i="1"/>
  <c r="A458" i="1"/>
  <c r="AL391" i="1" l="1"/>
  <c r="AM391" i="1"/>
  <c r="AJ496" i="1"/>
  <c r="AM496" i="1" s="1"/>
  <c r="D496" i="1"/>
  <c r="AW496" i="1" s="1"/>
  <c r="AK387" i="1"/>
  <c r="AJ458" i="1"/>
  <c r="AK388" i="1"/>
  <c r="D458" i="1"/>
  <c r="A459" i="1"/>
  <c r="AI390" i="1"/>
  <c r="AU496" i="1" l="1"/>
  <c r="AK496" i="1"/>
  <c r="AM392" i="1"/>
  <c r="AI496" i="1"/>
  <c r="AJ486" i="1"/>
  <c r="D489" i="1"/>
  <c r="D486" i="1"/>
  <c r="A460" i="1"/>
  <c r="AK389" i="1"/>
  <c r="AI391" i="1"/>
  <c r="AV496" i="1" l="1"/>
  <c r="AX496" i="1" s="1"/>
  <c r="AL393" i="1"/>
  <c r="AM393" i="1"/>
  <c r="AJ489" i="1"/>
  <c r="D460" i="1"/>
  <c r="A461" i="1"/>
  <c r="AI392" i="1"/>
  <c r="AJ460" i="1"/>
  <c r="AK390" i="1"/>
  <c r="AL394" i="1" l="1"/>
  <c r="AM394" i="1"/>
  <c r="A462" i="1"/>
  <c r="AK391" i="1"/>
  <c r="AI393" i="1"/>
  <c r="AM395" i="1" l="1"/>
  <c r="AI394" i="1"/>
  <c r="AK392" i="1"/>
  <c r="A463" i="1"/>
  <c r="AJ463" i="1" s="1"/>
  <c r="D462" i="1"/>
  <c r="AJ462" i="1"/>
  <c r="AL396" i="1" l="1"/>
  <c r="AM396" i="1"/>
  <c r="D463" i="1"/>
  <c r="A464" i="1"/>
  <c r="AK393" i="1"/>
  <c r="AI395" i="1"/>
  <c r="AL397" i="1" l="1"/>
  <c r="AM397" i="1"/>
  <c r="AM398" i="1" s="1"/>
  <c r="D464" i="1"/>
  <c r="AI396" i="1"/>
  <c r="AK394" i="1"/>
  <c r="A465" i="1"/>
  <c r="AJ464" i="1"/>
  <c r="AU464" i="1" l="1"/>
  <c r="AK397" i="1"/>
  <c r="AI397" i="1"/>
  <c r="D465" i="1"/>
  <c r="AI398" i="1"/>
  <c r="A466" i="1"/>
  <c r="AK395" i="1"/>
  <c r="AJ465" i="1"/>
  <c r="AV397" i="1" l="1"/>
  <c r="AX397" i="1" s="1"/>
  <c r="AL399" i="1"/>
  <c r="AM399" i="1"/>
  <c r="AM400" i="1" s="1"/>
  <c r="AK398" i="1"/>
  <c r="AK396" i="1"/>
  <c r="AJ466" i="1"/>
  <c r="A467" i="1"/>
  <c r="AJ467" i="1" s="1"/>
  <c r="D466" i="1"/>
  <c r="AM401" i="1" l="1"/>
  <c r="A468" i="1"/>
  <c r="AI399" i="1"/>
  <c r="AK399" i="1"/>
  <c r="D467" i="1"/>
  <c r="AJ468" i="1"/>
  <c r="AU467" i="1" l="1"/>
  <c r="AL401" i="1"/>
  <c r="AI467" i="1"/>
  <c r="A469" i="1"/>
  <c r="AI401" i="1"/>
  <c r="AK400" i="1"/>
  <c r="D468" i="1"/>
  <c r="AJ469" i="1"/>
  <c r="AM402" i="1" l="1"/>
  <c r="A470" i="1"/>
  <c r="D469" i="1"/>
  <c r="AK401" i="1"/>
  <c r="AL403" i="1" l="1"/>
  <c r="AM403" i="1"/>
  <c r="AJ470" i="1"/>
  <c r="D470" i="1"/>
  <c r="A471" i="1"/>
  <c r="D471" i="1" s="1"/>
  <c r="AI402" i="1"/>
  <c r="AK402" i="1"/>
  <c r="AI469" i="1"/>
  <c r="AU470" i="1" l="1"/>
  <c r="AU471" i="1"/>
  <c r="AM404" i="1"/>
  <c r="AM405" i="1" s="1"/>
  <c r="D510" i="1"/>
  <c r="AW510" i="1" s="1"/>
  <c r="AJ510" i="1"/>
  <c r="AK403" i="1"/>
  <c r="A472" i="1"/>
  <c r="D472" i="1" s="1"/>
  <c r="AI403" i="1"/>
  <c r="AJ471" i="1"/>
  <c r="AU472" i="1" l="1"/>
  <c r="AL405" i="1"/>
  <c r="AM406" i="1"/>
  <c r="AJ502" i="1"/>
  <c r="AI405" i="1"/>
  <c r="D502" i="1"/>
  <c r="AJ472" i="1"/>
  <c r="AK404" i="1"/>
  <c r="AI404" i="1"/>
  <c r="A473" i="1"/>
  <c r="AU502" i="1" l="1"/>
  <c r="AK405" i="1"/>
  <c r="AJ473" i="1"/>
  <c r="A474" i="1"/>
  <c r="D473" i="1"/>
  <c r="D474" i="1"/>
  <c r="AU474" i="1" l="1"/>
  <c r="AV405" i="1"/>
  <c r="AL407" i="1"/>
  <c r="AM407" i="1"/>
  <c r="AK406" i="1"/>
  <c r="AI474" i="1"/>
  <c r="A475" i="1"/>
  <c r="AJ474" i="1"/>
  <c r="AI406" i="1"/>
  <c r="AJ475" i="1"/>
  <c r="AX405" i="1" l="1"/>
  <c r="AW405" i="1"/>
  <c r="AM408" i="1"/>
  <c r="AI407" i="1"/>
  <c r="AK407" i="1"/>
  <c r="D475" i="1"/>
  <c r="A476" i="1"/>
  <c r="AJ476" i="1"/>
  <c r="D476" i="1"/>
  <c r="AU475" i="1" l="1"/>
  <c r="AU476" i="1"/>
  <c r="AL409" i="1"/>
  <c r="AM409" i="1"/>
  <c r="A477" i="1"/>
  <c r="AI476" i="1"/>
  <c r="AJ477" i="1"/>
  <c r="AL410" i="1" l="1"/>
  <c r="AM410" i="1"/>
  <c r="AJ517" i="1"/>
  <c r="D517" i="1"/>
  <c r="D519" i="1"/>
  <c r="AJ519" i="1"/>
  <c r="D477" i="1"/>
  <c r="A478" i="1"/>
  <c r="AU477" i="1" l="1"/>
  <c r="AW517" i="1"/>
  <c r="AW519" i="1"/>
  <c r="AL411" i="1"/>
  <c r="AM411" i="1"/>
  <c r="A479" i="1"/>
  <c r="AJ479" i="1"/>
  <c r="A480" i="1"/>
  <c r="D480" i="1" s="1"/>
  <c r="AL412" i="1" l="1"/>
  <c r="AM412" i="1"/>
  <c r="AM413" i="1" s="1"/>
  <c r="AJ521" i="1"/>
  <c r="D521" i="1"/>
  <c r="AJ480" i="1"/>
  <c r="AI409" i="1"/>
  <c r="AI410" i="1"/>
  <c r="AK408" i="1"/>
  <c r="AI408" i="1"/>
  <c r="A481" i="1"/>
  <c r="AJ481" i="1"/>
  <c r="D479" i="1"/>
  <c r="AI411" i="1"/>
  <c r="D481" i="1"/>
  <c r="A482" i="1"/>
  <c r="A483" i="1"/>
  <c r="D483" i="1"/>
  <c r="AJ483" i="1"/>
  <c r="AU521" i="1" l="1"/>
  <c r="AW521" i="1"/>
  <c r="AI479" i="1"/>
  <c r="A484" i="1"/>
  <c r="AK409" i="1"/>
  <c r="AI412" i="1"/>
  <c r="AL414" i="1" l="1"/>
  <c r="AM414" i="1"/>
  <c r="A485" i="1"/>
  <c r="AK410" i="1"/>
  <c r="AJ485" i="1"/>
  <c r="D485" i="1"/>
  <c r="A486" i="1"/>
  <c r="A487" i="1"/>
  <c r="D487" i="1"/>
  <c r="AM415" i="1" l="1"/>
  <c r="AI414" i="1"/>
  <c r="D513" i="1"/>
  <c r="AJ487" i="1"/>
  <c r="A488" i="1"/>
  <c r="AK411" i="1"/>
  <c r="AJ488" i="1"/>
  <c r="D488" i="1"/>
  <c r="AI485" i="1"/>
  <c r="A489" i="1"/>
  <c r="AL416" i="1" l="1"/>
  <c r="AM416" i="1"/>
  <c r="AJ513" i="1"/>
  <c r="AK412" i="1"/>
  <c r="A490" i="1"/>
  <c r="AI415" i="1"/>
  <c r="AM417" i="1" l="1"/>
  <c r="AM418" i="1" s="1"/>
  <c r="AK414" i="1"/>
  <c r="D490" i="1"/>
  <c r="AI416" i="1"/>
  <c r="A491" i="1"/>
  <c r="AK413" i="1"/>
  <c r="AJ490" i="1"/>
  <c r="AJ491" i="1"/>
  <c r="AV414" i="1" l="1"/>
  <c r="AK415" i="1"/>
  <c r="AI418" i="1"/>
  <c r="AI417" i="1"/>
  <c r="D491" i="1"/>
  <c r="A492" i="1"/>
  <c r="AX414" i="1" l="1"/>
  <c r="AW414" i="1"/>
  <c r="AM419" i="1"/>
  <c r="AK418" i="1"/>
  <c r="D492" i="1"/>
  <c r="AK416" i="1"/>
  <c r="A493" i="1"/>
  <c r="AI491" i="1"/>
  <c r="AJ492" i="1"/>
  <c r="AJ493" i="1"/>
  <c r="AV418" i="1" l="1"/>
  <c r="AM420" i="1"/>
  <c r="AM421" i="1" s="1"/>
  <c r="AK419" i="1"/>
  <c r="D493" i="1"/>
  <c r="AK417" i="1"/>
  <c r="A494" i="1"/>
  <c r="AI419" i="1"/>
  <c r="AJ494" i="1"/>
  <c r="AX418" i="1" l="1"/>
  <c r="AW418" i="1"/>
  <c r="AL421" i="1"/>
  <c r="AK420" i="1"/>
  <c r="AI420" i="1"/>
  <c r="D494" i="1"/>
  <c r="A495" i="1"/>
  <c r="AM422" i="1" l="1"/>
  <c r="A496" i="1"/>
  <c r="AK421" i="1"/>
  <c r="D495" i="1"/>
  <c r="AJ495" i="1"/>
  <c r="AL423" i="1" l="1"/>
  <c r="AM423" i="1"/>
  <c r="AM424" i="1" s="1"/>
  <c r="A497" i="1"/>
  <c r="D497" i="1"/>
  <c r="AI422" i="1"/>
  <c r="AK422" i="1"/>
  <c r="AJ497" i="1"/>
  <c r="A498" i="1"/>
  <c r="AI423" i="1"/>
  <c r="AJ498" i="1"/>
  <c r="AL425" i="1" l="1"/>
  <c r="AM425" i="1"/>
  <c r="AM426" i="1" s="1"/>
  <c r="AJ523" i="1"/>
  <c r="D523" i="1"/>
  <c r="D498" i="1"/>
  <c r="A499" i="1"/>
  <c r="D499" i="1"/>
  <c r="AJ499" i="1"/>
  <c r="AK423" i="1"/>
  <c r="AK424" i="1"/>
  <c r="A500" i="1"/>
  <c r="AJ500" i="1"/>
  <c r="AM427" i="1" l="1"/>
  <c r="A501" i="1"/>
  <c r="AI499" i="1"/>
  <c r="AI425" i="1"/>
  <c r="AJ501" i="1"/>
  <c r="A502" i="1"/>
  <c r="D500" i="1"/>
  <c r="AI426" i="1"/>
  <c r="D501" i="1"/>
  <c r="AK425" i="1"/>
  <c r="AL428" i="1" l="1"/>
  <c r="AM428" i="1"/>
  <c r="AI428" i="1"/>
  <c r="AI501" i="1"/>
  <c r="A503" i="1"/>
  <c r="AJ503" i="1"/>
  <c r="AK426" i="1"/>
  <c r="AK427" i="1" s="1"/>
  <c r="AI427" i="1"/>
  <c r="AM429" i="1" l="1"/>
  <c r="AK428" i="1"/>
  <c r="D503" i="1"/>
  <c r="A504" i="1"/>
  <c r="D504" i="1"/>
  <c r="AM430" i="1" l="1"/>
  <c r="AM431" i="1" s="1"/>
  <c r="AK429" i="1"/>
  <c r="AJ504" i="1"/>
  <c r="AI429" i="1"/>
  <c r="AI430" i="1"/>
  <c r="A505" i="1"/>
  <c r="AJ505" i="1" s="1"/>
  <c r="AL432" i="1" l="1"/>
  <c r="AM432" i="1"/>
  <c r="D505" i="1"/>
  <c r="AK430" i="1"/>
  <c r="A506" i="1"/>
  <c r="AK431" i="1"/>
  <c r="AJ506" i="1"/>
  <c r="D506" i="1"/>
  <c r="A507" i="1"/>
  <c r="D507" i="1" s="1"/>
  <c r="AL433" i="1" l="1"/>
  <c r="AM433" i="1"/>
  <c r="AJ507" i="1"/>
  <c r="A508" i="1"/>
  <c r="D508" i="1"/>
  <c r="AI432" i="1"/>
  <c r="AK432" i="1"/>
  <c r="AM434" i="1" l="1"/>
  <c r="AK433" i="1"/>
  <c r="AI433" i="1"/>
  <c r="AJ508" i="1"/>
  <c r="A509" i="1"/>
  <c r="D509" i="1"/>
  <c r="AL435" i="1" l="1"/>
  <c r="AM435" i="1"/>
  <c r="AM436" i="1" s="1"/>
  <c r="AK434" i="1"/>
  <c r="A510" i="1"/>
  <c r="AI509" i="1"/>
  <c r="AI434" i="1"/>
  <c r="AJ509" i="1"/>
  <c r="AM437" i="1" l="1"/>
  <c r="AI435" i="1"/>
  <c r="AK435" i="1"/>
  <c r="A511" i="1"/>
  <c r="AM438" i="1" l="1"/>
  <c r="AK436" i="1"/>
  <c r="AJ511" i="1"/>
  <c r="A512" i="1"/>
  <c r="D511" i="1"/>
  <c r="D512" i="1"/>
  <c r="AK437" i="1"/>
  <c r="AI437" i="1"/>
  <c r="AU512" i="1" l="1"/>
  <c r="AM439" i="1"/>
  <c r="AM440" i="1" s="1"/>
  <c r="AK438" i="1"/>
  <c r="AI438" i="1"/>
  <c r="AJ512" i="1"/>
  <c r="AI511" i="1"/>
  <c r="A513" i="1"/>
  <c r="AL440" i="1" l="1"/>
  <c r="AK439" i="1"/>
  <c r="AI439" i="1"/>
  <c r="A514" i="1"/>
  <c r="AL441" i="1" l="1"/>
  <c r="AM441" i="1"/>
  <c r="D514" i="1"/>
  <c r="AK440" i="1"/>
  <c r="A515" i="1"/>
  <c r="D515" i="1" s="1"/>
  <c r="AJ514" i="1"/>
  <c r="AU515" i="1" l="1"/>
  <c r="AM442" i="1"/>
  <c r="AI442" i="1"/>
  <c r="AI441" i="1"/>
  <c r="AK441" i="1"/>
  <c r="AI514" i="1"/>
  <c r="A516" i="1"/>
  <c r="AJ515" i="1"/>
  <c r="AM443" i="1" l="1"/>
  <c r="AM444" i="1" s="1"/>
  <c r="AK442" i="1"/>
  <c r="D516" i="1"/>
  <c r="AJ516" i="1"/>
  <c r="A517" i="1"/>
  <c r="AL444" i="1" l="1"/>
  <c r="AK443" i="1"/>
  <c r="AI516" i="1"/>
  <c r="A518" i="1"/>
  <c r="D518" i="1"/>
  <c r="AI443" i="1"/>
  <c r="AM445" i="1" l="1"/>
  <c r="AM446" i="1" s="1"/>
  <c r="AK444" i="1"/>
  <c r="AI444" i="1"/>
  <c r="AJ518" i="1"/>
  <c r="A519" i="1"/>
  <c r="AL446" i="1" l="1"/>
  <c r="AM447" i="1"/>
  <c r="AM448" i="1" s="1"/>
  <c r="AK445" i="1"/>
  <c r="A520" i="1"/>
  <c r="AL449" i="1" l="1"/>
  <c r="AM449" i="1"/>
  <c r="AK447" i="1"/>
  <c r="AK446" i="1"/>
  <c r="D520" i="1"/>
  <c r="AI447" i="1"/>
  <c r="AJ520" i="1"/>
  <c r="AI445" i="1"/>
  <c r="A521" i="1"/>
  <c r="AI448" i="1"/>
  <c r="AM450" i="1" l="1"/>
  <c r="A522" i="1"/>
  <c r="AK448" i="1"/>
  <c r="AI449" i="1"/>
  <c r="AM451" i="1" l="1"/>
  <c r="AI450" i="1"/>
  <c r="D522" i="1"/>
  <c r="A523" i="1"/>
  <c r="AJ522" i="1"/>
  <c r="AK449" i="1"/>
  <c r="AL452" i="1" l="1"/>
  <c r="AM452" i="1"/>
  <c r="AK450" i="1"/>
  <c r="AI451" i="1"/>
  <c r="AM453" i="1" l="1"/>
  <c r="AM454" i="1" s="1"/>
  <c r="AK451" i="1"/>
  <c r="AI452" i="1"/>
  <c r="AK452" i="1"/>
  <c r="AK453" i="1" l="1"/>
  <c r="AI453" i="1"/>
  <c r="AM455" i="1" l="1"/>
  <c r="AK454" i="1"/>
  <c r="AV454" i="1" s="1"/>
  <c r="AX454" i="1" l="1"/>
  <c r="AW454" i="1"/>
  <c r="AL456" i="1"/>
  <c r="AM456" i="1"/>
  <c r="AK455" i="1"/>
  <c r="AI456" i="1"/>
  <c r="AK456" i="1"/>
  <c r="AI455" i="1"/>
  <c r="AM457" i="1" l="1"/>
  <c r="AL458" i="1" l="1"/>
  <c r="AM458" i="1"/>
  <c r="AK457" i="1"/>
  <c r="AI457" i="1"/>
  <c r="AI458" i="1"/>
  <c r="AL459" i="1" l="1"/>
  <c r="AM459" i="1"/>
  <c r="AM460" i="1" s="1"/>
  <c r="AK458" i="1"/>
  <c r="AK459" i="1" l="1"/>
  <c r="AI459" i="1"/>
  <c r="AM461" i="1" l="1"/>
  <c r="AK460" i="1"/>
  <c r="AI460" i="1"/>
  <c r="AM462" i="1" l="1"/>
  <c r="AK461" i="1"/>
  <c r="AI461" i="1"/>
  <c r="AL463" i="1" l="1"/>
  <c r="AM463" i="1"/>
  <c r="AK462" i="1"/>
  <c r="AI462" i="1"/>
  <c r="AL464" i="1" l="1"/>
  <c r="AM464" i="1"/>
  <c r="AK463" i="1"/>
  <c r="AI463" i="1"/>
  <c r="AM465" i="1" l="1"/>
  <c r="AI464" i="1"/>
  <c r="AK464" i="1"/>
  <c r="AI465" i="1"/>
  <c r="AV464" i="1" l="1"/>
  <c r="AL466" i="1"/>
  <c r="AM466" i="1"/>
  <c r="AM467" i="1" s="1"/>
  <c r="AK465" i="1"/>
  <c r="AI466" i="1"/>
  <c r="AX464" i="1" l="1"/>
  <c r="AW464" i="1"/>
  <c r="AL467" i="1"/>
  <c r="AK466" i="1"/>
  <c r="AM468" i="1" l="1"/>
  <c r="AM469" i="1" s="1"/>
  <c r="AK467" i="1"/>
  <c r="AV467" i="1" l="1"/>
  <c r="AW467" i="1" s="1"/>
  <c r="AL469" i="1"/>
  <c r="AK468" i="1"/>
  <c r="AI468" i="1"/>
  <c r="AX467" i="1" l="1"/>
  <c r="AL470" i="1"/>
  <c r="AM470" i="1"/>
  <c r="AK469" i="1"/>
  <c r="AM471" i="1" l="1"/>
  <c r="AK470" i="1"/>
  <c r="AI470" i="1"/>
  <c r="AV470" i="1" l="1"/>
  <c r="AM472" i="1"/>
  <c r="AI471" i="1"/>
  <c r="AK471" i="1"/>
  <c r="AV471" i="1" l="1"/>
  <c r="AX470" i="1"/>
  <c r="AW470" i="1"/>
  <c r="AM473" i="1"/>
  <c r="AM474" i="1" s="1"/>
  <c r="AK472" i="1"/>
  <c r="AI472" i="1"/>
  <c r="AV472" i="1" l="1"/>
  <c r="AX471" i="1"/>
  <c r="AW471" i="1"/>
  <c r="AI473" i="1"/>
  <c r="AK473" i="1"/>
  <c r="AX472" i="1" l="1"/>
  <c r="AW472" i="1"/>
  <c r="AM475" i="1"/>
  <c r="AM476" i="1" s="1"/>
  <c r="AK474" i="1"/>
  <c r="AV474" i="1" l="1"/>
  <c r="AW474" i="1" s="1"/>
  <c r="AI475" i="1"/>
  <c r="AK475" i="1"/>
  <c r="AX474" i="1" l="1"/>
  <c r="AV475" i="1"/>
  <c r="AM477" i="1"/>
  <c r="AK476" i="1"/>
  <c r="AI477" i="1"/>
  <c r="AV476" i="1" l="1"/>
  <c r="AW476" i="1" s="1"/>
  <c r="AX475" i="1"/>
  <c r="AW475" i="1"/>
  <c r="AM478" i="1"/>
  <c r="AM479" i="1" s="1"/>
  <c r="AK477" i="1"/>
  <c r="AX476" i="1" l="1"/>
  <c r="AV477" i="1"/>
  <c r="AX477" i="1" s="1"/>
  <c r="AK478" i="1"/>
  <c r="AI478" i="1"/>
  <c r="AW477" i="1" l="1"/>
  <c r="AV478" i="1"/>
  <c r="AL480" i="1"/>
  <c r="AM480" i="1"/>
  <c r="AK479" i="1"/>
  <c r="AX478" i="1" l="1"/>
  <c r="AW478" i="1"/>
  <c r="AM481" i="1"/>
  <c r="AM482" i="1" s="1"/>
  <c r="AI480" i="1"/>
  <c r="AK480" i="1"/>
  <c r="AL482" i="1" l="1"/>
  <c r="AI482" i="1"/>
  <c r="AK482" i="1"/>
  <c r="AI481" i="1"/>
  <c r="AK481" i="1"/>
  <c r="AM483" i="1" l="1"/>
  <c r="AK483" i="1" l="1"/>
  <c r="AM484" i="1"/>
  <c r="AI483" i="1"/>
  <c r="AK484" i="1" l="1"/>
  <c r="AM485" i="1"/>
  <c r="AI484" i="1"/>
  <c r="AK485" i="1" l="1"/>
  <c r="AL486" i="1" l="1"/>
  <c r="AM486" i="1"/>
  <c r="AK486" i="1"/>
  <c r="AI486" i="1"/>
  <c r="AM487" i="1" l="1"/>
  <c r="AL488" i="1" l="1"/>
  <c r="AM488" i="1"/>
  <c r="AM489" i="1" s="1"/>
  <c r="AK487" i="1"/>
  <c r="AI488" i="1"/>
  <c r="AK488" i="1"/>
  <c r="AI487" i="1"/>
  <c r="AM490" i="1" l="1"/>
  <c r="AM491" i="1" s="1"/>
  <c r="AK489" i="1"/>
  <c r="AI489" i="1"/>
  <c r="AL491" i="1" l="1"/>
  <c r="AK490" i="1"/>
  <c r="AI490" i="1"/>
  <c r="AL492" i="1" l="1"/>
  <c r="AM492" i="1"/>
  <c r="AM493" i="1" s="1"/>
  <c r="AK491" i="1"/>
  <c r="AM494" i="1" l="1"/>
  <c r="AI493" i="1"/>
  <c r="AK492" i="1"/>
  <c r="AK493" i="1" s="1"/>
  <c r="AI492" i="1"/>
  <c r="AM495" i="1" l="1"/>
  <c r="AI495" i="1"/>
  <c r="AK494" i="1"/>
  <c r="AI494" i="1"/>
  <c r="AM497" i="1" l="1"/>
  <c r="AM498" i="1" s="1"/>
  <c r="AM499" i="1" s="1"/>
  <c r="AE496" i="1"/>
  <c r="AF262" i="1"/>
  <c r="AE195" i="1"/>
  <c r="AF43" i="1"/>
  <c r="AE90" i="1"/>
  <c r="AF90" i="1"/>
  <c r="AE43" i="1"/>
  <c r="AF195" i="1"/>
  <c r="AF496" i="1"/>
  <c r="AE262" i="1"/>
  <c r="AK495" i="1"/>
  <c r="AL180" i="1" l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0" i="1"/>
  <c r="AL29" i="1"/>
  <c r="AL188" i="1"/>
  <c r="AL42" i="1"/>
  <c r="AL363" i="1"/>
  <c r="AL220" i="1"/>
  <c r="AL27" i="1"/>
  <c r="AL154" i="1"/>
  <c r="AL208" i="1"/>
  <c r="AL303" i="1"/>
  <c r="AL468" i="1"/>
  <c r="AL308" i="1"/>
  <c r="AL498" i="1"/>
  <c r="AK497" i="1"/>
  <c r="AK498" i="1"/>
  <c r="AI497" i="1"/>
  <c r="AI498" i="1"/>
  <c r="AK499" i="1"/>
  <c r="AF482" i="1" l="1"/>
  <c r="AE433" i="1"/>
  <c r="AE482" i="1"/>
  <c r="AE484" i="1"/>
  <c r="AF433" i="1"/>
  <c r="AF484" i="1"/>
  <c r="AI500" i="1"/>
  <c r="AK500" i="1"/>
  <c r="AL489" i="1" l="1"/>
  <c r="AL381" i="1"/>
  <c r="AL68" i="1"/>
  <c r="AL110" i="1"/>
  <c r="AL473" i="1"/>
  <c r="AL368" i="1"/>
  <c r="AL305" i="1"/>
  <c r="AL117" i="1"/>
  <c r="AL499" i="1"/>
  <c r="AL461" i="1"/>
  <c r="AL279" i="1"/>
  <c r="AL124" i="1"/>
  <c r="AL477" i="1"/>
  <c r="AL475" i="1"/>
  <c r="AL307" i="1"/>
  <c r="AL207" i="1"/>
  <c r="AL130" i="1"/>
  <c r="AL55" i="1"/>
  <c r="AL484" i="1"/>
  <c r="AL212" i="1"/>
  <c r="AL493" i="1"/>
  <c r="AL347" i="1"/>
  <c r="AL114" i="1"/>
  <c r="AL4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430" i="1"/>
  <c r="AL341" i="1"/>
  <c r="AL165" i="1"/>
  <c r="AL94" i="1"/>
  <c r="AL186" i="1"/>
  <c r="AL420" i="1"/>
  <c r="AL336" i="1"/>
  <c r="AL239" i="1"/>
  <c r="AL174" i="1"/>
  <c r="AL426" i="1"/>
  <c r="AL450" i="1"/>
  <c r="AL16" i="1"/>
  <c r="AL375" i="1"/>
  <c r="AL309" i="1"/>
  <c r="AL214" i="1"/>
  <c r="AL153" i="1"/>
  <c r="AL422" i="1"/>
  <c r="AL465" i="1"/>
  <c r="AL354" i="1"/>
  <c r="AL282" i="1"/>
  <c r="AL28" i="1"/>
  <c r="AK501" i="1"/>
  <c r="AF260" i="1" l="1"/>
  <c r="AE62" i="1"/>
  <c r="AF339" i="1"/>
  <c r="AE235" i="1"/>
  <c r="AE260" i="1"/>
  <c r="AE245" i="1"/>
  <c r="AE159" i="1"/>
  <c r="AE52" i="1"/>
  <c r="AE50" i="1"/>
  <c r="AE339" i="1"/>
  <c r="AF52" i="1"/>
  <c r="AE64" i="1"/>
  <c r="AF64" i="1"/>
  <c r="AF159" i="1"/>
  <c r="AF245" i="1"/>
  <c r="AE397" i="1"/>
  <c r="AE144" i="1"/>
  <c r="AF235" i="1"/>
  <c r="AF144" i="1"/>
  <c r="AF397" i="1"/>
  <c r="AF62" i="1"/>
  <c r="AF50" i="1"/>
  <c r="AM500" i="1" l="1"/>
  <c r="AM501" i="1" s="1"/>
  <c r="AM502" i="1"/>
  <c r="AK502" i="1" l="1"/>
  <c r="AV502" i="1" s="1"/>
  <c r="AL501" i="1"/>
  <c r="AM503" i="1"/>
  <c r="AM504" i="1" s="1"/>
  <c r="AI502" i="1"/>
  <c r="AX502" i="1" l="1"/>
  <c r="AW502" i="1"/>
  <c r="AM505" i="1"/>
  <c r="AK503" i="1"/>
  <c r="AI504" i="1"/>
  <c r="AI503" i="1"/>
  <c r="AK504" i="1"/>
  <c r="AL505" i="1" l="1"/>
  <c r="AM506" i="1"/>
  <c r="AI505" i="1"/>
  <c r="AK505" i="1"/>
  <c r="AI506" i="1"/>
  <c r="AM507" i="1" l="1"/>
  <c r="AM508" i="1" s="1"/>
  <c r="AM509" i="1" s="1"/>
  <c r="AK506" i="1"/>
  <c r="AL507" i="1" l="1"/>
  <c r="AK507" i="1"/>
  <c r="AK508" i="1" s="1"/>
  <c r="AI507" i="1"/>
  <c r="AL510" i="1" l="1"/>
  <c r="AL509" i="1"/>
  <c r="AM510" i="1"/>
  <c r="AM511" i="1" s="1"/>
  <c r="AM512" i="1" s="1"/>
  <c r="AF510" i="1"/>
  <c r="AK510" i="1"/>
  <c r="AE510" i="1"/>
  <c r="AI510" i="1"/>
  <c r="AL512" i="1" l="1"/>
  <c r="AM513" i="1"/>
  <c r="AM514" i="1" s="1"/>
  <c r="AK511" i="1"/>
  <c r="AI508" i="1"/>
  <c r="AK509" i="1"/>
  <c r="AI512" i="1"/>
  <c r="AI513" i="1" l="1"/>
  <c r="AK512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K513" i="1"/>
  <c r="AX512" i="1" l="1"/>
  <c r="AW512" i="1"/>
  <c r="AK521" i="1"/>
  <c r="AV521" i="1" s="1"/>
  <c r="AX521" i="1" s="1"/>
  <c r="AI521" i="1"/>
  <c r="AE521" i="1"/>
  <c r="AF521" i="1"/>
  <c r="AI519" i="1"/>
  <c r="AF519" i="1"/>
  <c r="AE517" i="1"/>
  <c r="AI517" i="1"/>
  <c r="AF517" i="1"/>
  <c r="AE519" i="1"/>
  <c r="AK514" i="1"/>
  <c r="AI523" i="1"/>
  <c r="AK515" i="1"/>
  <c r="AI518" i="1"/>
  <c r="AI520" i="1"/>
  <c r="AI522" i="1"/>
  <c r="AI515" i="1"/>
  <c r="AV515" i="1" l="1"/>
  <c r="AL523" i="1"/>
  <c r="AL521" i="1"/>
  <c r="AL519" i="1"/>
  <c r="AL517" i="1"/>
  <c r="AL515" i="1"/>
  <c r="AK522" i="1"/>
  <c r="AK517" i="1"/>
  <c r="AK516" i="1"/>
  <c r="AX515" i="1" l="1"/>
  <c r="AW515" i="1"/>
  <c r="AK518" i="1"/>
  <c r="AK519" i="1"/>
  <c r="AK520" i="1"/>
  <c r="AK523" i="1"/>
  <c r="B3" i="13" l="1"/>
  <c r="D3" i="13" l="1"/>
  <c r="G3" i="13"/>
  <c r="C3" i="13"/>
  <c r="H3" i="13"/>
  <c r="E3" i="13"/>
  <c r="F3" i="13"/>
  <c r="A3" i="13" l="1"/>
  <c r="AL474" i="1" l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99" i="1"/>
  <c r="B99" i="1" s="1"/>
  <c r="C99" i="1" s="1"/>
  <c r="AL326" i="1"/>
  <c r="B326" i="1" s="1"/>
  <c r="C326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04" i="1"/>
  <c r="B504" i="1" s="1"/>
  <c r="C504" i="1" s="1"/>
  <c r="AL311" i="1"/>
  <c r="B311" i="1" s="1"/>
  <c r="C311" i="1" s="1"/>
  <c r="AL177" i="1"/>
  <c r="B177" i="1" s="1"/>
  <c r="C177" i="1" s="1"/>
  <c r="AL438" i="1"/>
  <c r="B438" i="1" s="1"/>
  <c r="C438" i="1" s="1"/>
  <c r="AL59" i="1"/>
  <c r="B59" i="1" s="1"/>
  <c r="C59" i="1" s="1"/>
  <c r="AL193" i="1"/>
  <c r="B193" i="1" s="1"/>
  <c r="C193" i="1" s="1"/>
  <c r="AL323" i="1"/>
  <c r="B323" i="1" s="1"/>
  <c r="C323" i="1" s="1"/>
  <c r="AL392" i="1"/>
  <c r="B392" i="1" s="1"/>
  <c r="C392" i="1" s="1"/>
  <c r="AL508" i="1"/>
  <c r="B508" i="1" s="1"/>
  <c r="C508" i="1" s="1"/>
  <c r="AL24" i="1"/>
  <c r="B24" i="1" s="1"/>
  <c r="C24" i="1" s="1"/>
  <c r="AL126" i="1"/>
  <c r="B126" i="1" s="1"/>
  <c r="C126" i="1" s="1"/>
  <c r="AL175" i="1"/>
  <c r="B175" i="1" s="1"/>
  <c r="C175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93" i="1"/>
  <c r="B93" i="1" s="1"/>
  <c r="C93" i="1" s="1"/>
  <c r="AL111" i="1"/>
  <c r="B111" i="1" s="1"/>
  <c r="C111" i="1" s="1"/>
  <c r="AL453" i="1"/>
  <c r="B453" i="1" s="1"/>
  <c r="C453" i="1" s="1"/>
  <c r="AL271" i="1"/>
  <c r="B271" i="1" s="1"/>
  <c r="C27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404" i="1"/>
  <c r="B404" i="1" s="1"/>
  <c r="C404" i="1" s="1"/>
  <c r="AL370" i="1"/>
  <c r="B370" i="1" s="1"/>
  <c r="C370" i="1" s="1"/>
  <c r="AL448" i="1"/>
  <c r="B448" i="1" s="1"/>
  <c r="C448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418" i="1"/>
  <c r="B418" i="1" s="1"/>
  <c r="C418" i="1" s="1"/>
  <c r="AL494" i="1"/>
  <c r="B494" i="1" s="1"/>
  <c r="C494" i="1" s="1"/>
  <c r="AL157" i="1"/>
  <c r="B157" i="1" s="1"/>
  <c r="C157" i="1" s="1"/>
  <c r="AL427" i="1"/>
  <c r="B427" i="1" s="1"/>
  <c r="C427" i="1" s="1"/>
  <c r="AL107" i="1"/>
  <c r="B107" i="1" s="1"/>
  <c r="C107" i="1" s="1"/>
  <c r="AL101" i="1"/>
  <c r="B101" i="1" s="1"/>
  <c r="C101" i="1" s="1"/>
  <c r="AL455" i="1"/>
  <c r="B455" i="1" s="1"/>
  <c r="C455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226" i="1"/>
  <c r="B226" i="1" s="1"/>
  <c r="C226" i="1" s="1"/>
  <c r="AL516" i="1"/>
  <c r="B516" i="1" s="1"/>
  <c r="C516" i="1" s="1"/>
  <c r="AL395" i="1"/>
  <c r="B395" i="1" s="1"/>
  <c r="C395" i="1" s="1"/>
  <c r="AL141" i="1"/>
  <c r="B141" i="1" s="1"/>
  <c r="C141" i="1" s="1"/>
  <c r="AL151" i="1"/>
  <c r="B151" i="1" s="1"/>
  <c r="C151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457" i="1"/>
  <c r="B457" i="1" s="1"/>
  <c r="C457" i="1" s="1"/>
  <c r="AL513" i="1"/>
  <c r="B513" i="1" s="1"/>
  <c r="C513" i="1" s="1"/>
  <c r="AL19" i="1"/>
  <c r="B19" i="1" s="1"/>
  <c r="C19" i="1" s="1"/>
  <c r="AL257" i="1"/>
  <c r="B257" i="1" s="1"/>
  <c r="C257" i="1" s="1"/>
  <c r="AL364" i="1"/>
  <c r="B364" i="1" s="1"/>
  <c r="C364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172" i="1"/>
  <c r="B172" i="1" s="1"/>
  <c r="C172" i="1" s="1"/>
  <c r="AF428" i="1" l="1"/>
  <c r="AF486" i="1"/>
  <c r="AF382" i="1"/>
  <c r="AE139" i="1"/>
  <c r="AE226" i="1"/>
  <c r="AF12" i="1"/>
  <c r="AF147" i="1"/>
  <c r="AF453" i="1"/>
  <c r="AF122" i="1"/>
  <c r="AF502" i="1"/>
  <c r="AF435" i="1"/>
  <c r="AE85" i="1"/>
  <c r="AF332" i="1"/>
  <c r="AF226" i="1"/>
  <c r="AF74" i="1"/>
  <c r="AE59" i="1"/>
  <c r="AF378" i="1"/>
  <c r="AF189" i="1"/>
  <c r="AE33" i="1"/>
  <c r="AE365" i="1"/>
  <c r="AF303" i="1"/>
  <c r="AE135" i="1"/>
  <c r="AF319" i="1"/>
  <c r="AF373" i="1"/>
  <c r="AF151" i="1"/>
  <c r="AF446" i="1"/>
  <c r="AE264" i="1"/>
  <c r="AF97" i="1"/>
  <c r="AF350" i="1"/>
  <c r="AF242" i="1"/>
  <c r="AF215" i="1"/>
  <c r="AF162" i="1"/>
  <c r="AE405" i="1"/>
  <c r="AF279" i="1"/>
  <c r="AF224" i="1"/>
  <c r="AF264" i="1"/>
  <c r="AE151" i="1"/>
  <c r="AF99" i="1"/>
  <c r="AF513" i="1"/>
  <c r="AF258" i="1"/>
  <c r="AE97" i="1"/>
  <c r="AE279" i="1"/>
  <c r="AF85" i="1"/>
  <c r="AE69" i="1"/>
  <c r="AF254" i="1"/>
  <c r="AE157" i="1"/>
  <c r="AF172" i="1"/>
  <c r="AE461" i="1"/>
  <c r="AE111" i="1"/>
  <c r="AE35" i="1"/>
  <c r="AF442" i="1"/>
  <c r="AE215" i="1"/>
  <c r="AE438" i="1"/>
  <c r="AF105" i="1"/>
  <c r="AE428" i="1"/>
  <c r="AF157" i="1"/>
  <c r="AF208" i="1"/>
  <c r="AF135" i="1"/>
  <c r="AE258" i="1"/>
  <c r="AE486" i="1"/>
  <c r="AE361" i="1"/>
  <c r="AE319" i="1"/>
  <c r="AE147" i="1"/>
  <c r="AF35" i="1"/>
  <c r="AE172" i="1"/>
  <c r="AE12" i="1"/>
  <c r="AF324" i="1"/>
  <c r="AE435" i="1"/>
  <c r="AF414" i="1"/>
  <c r="AE478" i="1"/>
  <c r="AF271" i="1"/>
  <c r="AF124" i="1"/>
  <c r="AF33" i="1"/>
  <c r="AF291" i="1"/>
  <c r="AE313" i="1"/>
  <c r="AF203" i="1"/>
  <c r="AE233" i="1"/>
  <c r="AF459" i="1"/>
  <c r="AF313" i="1"/>
  <c r="AF29" i="1"/>
  <c r="AF48" i="1"/>
  <c r="AF405" i="1"/>
  <c r="AE271" i="1"/>
  <c r="AE224" i="1"/>
  <c r="AE489" i="1"/>
  <c r="AF240" i="1"/>
  <c r="AF111" i="1"/>
  <c r="AF348" i="1"/>
  <c r="AE414" i="1"/>
  <c r="AE72" i="1"/>
  <c r="AF233" i="1"/>
  <c r="AE220" i="1"/>
  <c r="AE249" i="1"/>
  <c r="AE513" i="1"/>
  <c r="AF126" i="1"/>
  <c r="AE418" i="1"/>
  <c r="AE218" i="1"/>
  <c r="AE502" i="1"/>
  <c r="AE442" i="1"/>
  <c r="AF251" i="1"/>
  <c r="AF386" i="1"/>
  <c r="AE242" i="1"/>
  <c r="AE450" i="1"/>
  <c r="AE453" i="1"/>
  <c r="AF139" i="1"/>
  <c r="AE122" i="1"/>
  <c r="AF31" i="1"/>
  <c r="AE228" i="1"/>
  <c r="AE74" i="1"/>
  <c r="AF59" i="1"/>
  <c r="AE332" i="1"/>
  <c r="AF418" i="1"/>
  <c r="AE386" i="1"/>
  <c r="AF228" i="1"/>
  <c r="AF220" i="1"/>
  <c r="AE222" i="1"/>
  <c r="AE291" i="1"/>
  <c r="AF461" i="1"/>
  <c r="AF141" i="1"/>
  <c r="AE29" i="1"/>
  <c r="AE240" i="1"/>
  <c r="AE141" i="1"/>
  <c r="AF438" i="1"/>
  <c r="AF249" i="1"/>
  <c r="AF37" i="1"/>
  <c r="AE251" i="1"/>
  <c r="AE177" i="1"/>
  <c r="AF365" i="1"/>
  <c r="AF478" i="1"/>
  <c r="AE373" i="1"/>
  <c r="AE126" i="1"/>
  <c r="AE17" i="1"/>
  <c r="AF218" i="1"/>
  <c r="AE189" i="1"/>
  <c r="AE303" i="1"/>
  <c r="AE378" i="1"/>
  <c r="AF69" i="1"/>
  <c r="AF177" i="1"/>
  <c r="AE523" i="1"/>
  <c r="AE31" i="1"/>
  <c r="AF17" i="1"/>
  <c r="AE124" i="1"/>
  <c r="AF523" i="1"/>
  <c r="AF361" i="1"/>
  <c r="AE208" i="1"/>
  <c r="AE254" i="1"/>
  <c r="AF222" i="1"/>
  <c r="AF72" i="1"/>
  <c r="AF450" i="1"/>
  <c r="AF489" i="1"/>
  <c r="AE446" i="1"/>
  <c r="AE203" i="1"/>
  <c r="AE348" i="1"/>
  <c r="AE324" i="1"/>
  <c r="AE105" i="1"/>
  <c r="AE459" i="1"/>
  <c r="AE382" i="1"/>
  <c r="AE48" i="1"/>
  <c r="AE350" i="1"/>
  <c r="AE37" i="1"/>
  <c r="AE162" i="1"/>
  <c r="AE99" i="1"/>
  <c r="AL6" i="1" l="1"/>
  <c r="AK22" i="1"/>
  <c r="AE24" i="1"/>
  <c r="AI22" i="1"/>
  <c r="AF22" i="1"/>
  <c r="AF24" i="1"/>
  <c r="AE22" i="1"/>
  <c r="AK23" i="1" l="1"/>
  <c r="AM22" i="1" l="1"/>
  <c r="AM23" i="1" s="1"/>
  <c r="AM24" i="1" s="1"/>
  <c r="AM25" i="1" s="1"/>
  <c r="AM26" i="1" s="1"/>
  <c r="AM27" i="1" s="1"/>
  <c r="AM28" i="1" s="1"/>
  <c r="AM29" i="1" s="1"/>
  <c r="AK24" i="1"/>
  <c r="AK25" i="1" l="1"/>
  <c r="AH38" i="1" l="1"/>
  <c r="X38" i="1" s="1"/>
  <c r="AK29" i="1"/>
  <c r="AV29" i="1" l="1"/>
  <c r="AX29" i="1" s="1"/>
  <c r="AG38" i="1"/>
  <c r="AO38" i="1" s="1"/>
  <c r="Y38" i="1"/>
  <c r="Z38" i="1" s="1"/>
  <c r="AK26" i="1"/>
  <c r="AW29" i="1" l="1"/>
  <c r="AP38" i="1"/>
  <c r="AA38" i="1"/>
  <c r="AK27" i="1"/>
  <c r="AV27" i="1" l="1"/>
  <c r="AX27" i="1" s="1"/>
  <c r="AB38" i="1"/>
  <c r="AK28" i="1"/>
  <c r="AV28" i="1" l="1"/>
  <c r="AW27" i="1"/>
  <c r="AC38" i="1"/>
  <c r="AX28" i="1" l="1"/>
  <c r="AW28" i="1"/>
  <c r="A4" i="10"/>
  <c r="A524" i="1"/>
  <c r="D524" i="1"/>
  <c r="AK524" i="1" l="1"/>
  <c r="AU524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J524" i="1"/>
  <c r="A525" i="1"/>
  <c r="AI524" i="1"/>
  <c r="AV524" i="1" l="1"/>
  <c r="AX524" i="1" s="1"/>
  <c r="AL525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526" i="1"/>
  <c r="AJ526" i="1" s="1"/>
  <c r="D526" i="1"/>
  <c r="AW524" i="1" l="1"/>
  <c r="AK526" i="1"/>
  <c r="AU526" i="1"/>
  <c r="A527" i="1"/>
  <c r="AI526" i="1"/>
  <c r="A528" i="1"/>
  <c r="A529" i="1" s="1"/>
  <c r="A530" i="1" s="1"/>
  <c r="D529" i="1"/>
  <c r="AJ529" i="1"/>
  <c r="D527" i="1"/>
  <c r="AJ527" i="1"/>
  <c r="AV526" i="1" l="1"/>
  <c r="AX526" i="1" s="1"/>
  <c r="AL530" i="1"/>
  <c r="AU529" i="1"/>
  <c r="AK529" i="1"/>
  <c r="AL529" i="1"/>
  <c r="AL528" i="1"/>
  <c r="AM527" i="1"/>
  <c r="AU527" i="1"/>
  <c r="AL209" i="1"/>
  <c r="B209" i="1" s="1"/>
  <c r="C209" i="1" s="1"/>
  <c r="AL280" i="1"/>
  <c r="B280" i="1" s="1"/>
  <c r="C280" i="1" s="1"/>
  <c r="AL314" i="1"/>
  <c r="B314" i="1" s="1"/>
  <c r="C314" i="1" s="1"/>
  <c r="AL13" i="1"/>
  <c r="B13" i="1" s="1"/>
  <c r="C13" i="1" s="1"/>
  <c r="AL406" i="1"/>
  <c r="B406" i="1" s="1"/>
  <c r="C406" i="1" s="1"/>
  <c r="AL518" i="1"/>
  <c r="B518" i="1" s="1"/>
  <c r="C518" i="1" s="1"/>
  <c r="AL487" i="1"/>
  <c r="B487" i="1" s="1"/>
  <c r="C487" i="1" s="1"/>
  <c r="AL462" i="1"/>
  <c r="B462" i="1" s="1"/>
  <c r="C462" i="1" s="1"/>
  <c r="AL514" i="1"/>
  <c r="B514" i="1" s="1"/>
  <c r="C514" i="1" s="1"/>
  <c r="AL366" i="1"/>
  <c r="B366" i="1" s="1"/>
  <c r="C366" i="1" s="1"/>
  <c r="AL304" i="1"/>
  <c r="B304" i="1" s="1"/>
  <c r="C304" i="1" s="1"/>
  <c r="AL520" i="1"/>
  <c r="B520" i="1" s="1"/>
  <c r="C520" i="1" s="1"/>
  <c r="AL241" i="1"/>
  <c r="B241" i="1" s="1"/>
  <c r="C241" i="1" s="1"/>
  <c r="AL292" i="1"/>
  <c r="B292" i="1" s="1"/>
  <c r="C292" i="1" s="1"/>
  <c r="AL362" i="1"/>
  <c r="B362" i="1" s="1"/>
  <c r="C362" i="1" s="1"/>
  <c r="AL125" i="1"/>
  <c r="B125" i="1" s="1"/>
  <c r="C125" i="1" s="1"/>
  <c r="AL25" i="1"/>
  <c r="B25" i="1" s="1"/>
  <c r="C25" i="1" s="1"/>
  <c r="AL18" i="1"/>
  <c r="B18" i="1" s="1"/>
  <c r="C18" i="1" s="1"/>
  <c r="AL178" i="1"/>
  <c r="B178" i="1" s="1"/>
  <c r="C178" i="1" s="1"/>
  <c r="AL160" i="1"/>
  <c r="B160" i="1" s="1"/>
  <c r="C160" i="1" s="1"/>
  <c r="AL60" i="1"/>
  <c r="B60" i="1" s="1"/>
  <c r="C60" i="1" s="1"/>
  <c r="AL398" i="1"/>
  <c r="B398" i="1" s="1"/>
  <c r="C398" i="1" s="1"/>
  <c r="AL216" i="1"/>
  <c r="B216" i="1" s="1"/>
  <c r="C216" i="1" s="1"/>
  <c r="AL34" i="1"/>
  <c r="B34" i="1" s="1"/>
  <c r="C34" i="1" s="1"/>
  <c r="AL204" i="1"/>
  <c r="B204" i="1" s="1"/>
  <c r="C204" i="1" s="1"/>
  <c r="AL434" i="1"/>
  <c r="B434" i="1" s="1"/>
  <c r="C434" i="1" s="1"/>
  <c r="AL524" i="1"/>
  <c r="B524" i="1" s="1"/>
  <c r="C524" i="1" s="1"/>
  <c r="AL263" i="1"/>
  <c r="B263" i="1" s="1"/>
  <c r="C263" i="1" s="1"/>
  <c r="AL112" i="1"/>
  <c r="B112" i="1" s="1"/>
  <c r="C112" i="1" s="1"/>
  <c r="AL196" i="1"/>
  <c r="B196" i="1" s="1"/>
  <c r="C196" i="1" s="1"/>
  <c r="AL320" i="1"/>
  <c r="B320" i="1" s="1"/>
  <c r="C320" i="1" s="1"/>
  <c r="AL49" i="1"/>
  <c r="B49" i="1" s="1"/>
  <c r="C49" i="1" s="1"/>
  <c r="AL485" i="1"/>
  <c r="B485" i="1" s="1"/>
  <c r="C485" i="1" s="1"/>
  <c r="AL325" i="1"/>
  <c r="B325" i="1" s="1"/>
  <c r="C325" i="1" s="1"/>
  <c r="AL51" i="1"/>
  <c r="B51" i="1" s="1"/>
  <c r="C51" i="1" s="1"/>
  <c r="AL30" i="1"/>
  <c r="B30" i="1" s="1"/>
  <c r="C30" i="1" s="1"/>
  <c r="AL70" i="1"/>
  <c r="B70" i="1" s="1"/>
  <c r="C70" i="1" s="1"/>
  <c r="AL123" i="1"/>
  <c r="B123" i="1" s="1"/>
  <c r="C123" i="1" s="1"/>
  <c r="AL503" i="1"/>
  <c r="B503" i="1" s="1"/>
  <c r="C503" i="1" s="1"/>
  <c r="AL75" i="1"/>
  <c r="B75" i="1" s="1"/>
  <c r="C75" i="1" s="1"/>
  <c r="AL522" i="1"/>
  <c r="B522" i="1" s="1"/>
  <c r="C522" i="1" s="1"/>
  <c r="AL511" i="1"/>
  <c r="B511" i="1" s="1"/>
  <c r="C511" i="1" s="1"/>
  <c r="AL419" i="1"/>
  <c r="B419" i="1" s="1"/>
  <c r="C419" i="1" s="1"/>
  <c r="AL265" i="1"/>
  <c r="B265" i="1" s="1"/>
  <c r="C265" i="1" s="1"/>
  <c r="AL106" i="1"/>
  <c r="B106" i="1" s="1"/>
  <c r="C106" i="1" s="1"/>
  <c r="AL261" i="1"/>
  <c r="B261" i="1" s="1"/>
  <c r="C261" i="1" s="1"/>
  <c r="AL38" i="1"/>
  <c r="B38" i="1" s="1"/>
  <c r="C38" i="1" s="1"/>
  <c r="AL73" i="1"/>
  <c r="B73" i="1" s="1"/>
  <c r="C73" i="1" s="1"/>
  <c r="AL3" i="1"/>
  <c r="B3" i="1" s="1"/>
  <c r="C3" i="1" s="1"/>
  <c r="AL23" i="1"/>
  <c r="B23" i="1" s="1"/>
  <c r="C23" i="1" s="1"/>
  <c r="AL429" i="1"/>
  <c r="B429" i="1" s="1"/>
  <c r="C429" i="1" s="1"/>
  <c r="AL219" i="1"/>
  <c r="B219" i="1" s="1"/>
  <c r="C219" i="1" s="1"/>
  <c r="AL374" i="1"/>
  <c r="B374" i="1" s="1"/>
  <c r="C374" i="1" s="1"/>
  <c r="AL383" i="1"/>
  <c r="B383" i="1" s="1"/>
  <c r="C383" i="1" s="1"/>
  <c r="AL483" i="1"/>
  <c r="B483" i="1" s="1"/>
  <c r="C483" i="1" s="1"/>
  <c r="AL379" i="1"/>
  <c r="B379" i="1" s="1"/>
  <c r="C379" i="1" s="1"/>
  <c r="AL229" i="1"/>
  <c r="B229" i="1" s="1"/>
  <c r="C229" i="1" s="1"/>
  <c r="AL145" i="1"/>
  <c r="B145" i="1" s="1"/>
  <c r="C145" i="1" s="1"/>
  <c r="AL136" i="1"/>
  <c r="B136" i="1" s="1"/>
  <c r="C136" i="1" s="1"/>
  <c r="AL221" i="1"/>
  <c r="B221" i="1" s="1"/>
  <c r="C221" i="1" s="1"/>
  <c r="AL36" i="1"/>
  <c r="B36" i="1" s="1"/>
  <c r="C36" i="1" s="1"/>
  <c r="AL86" i="1"/>
  <c r="B86" i="1" s="1"/>
  <c r="C86" i="1" s="1"/>
  <c r="AL163" i="1"/>
  <c r="B163" i="1" s="1"/>
  <c r="C163" i="1" s="1"/>
  <c r="AL252" i="1"/>
  <c r="B252" i="1" s="1"/>
  <c r="C252" i="1" s="1"/>
  <c r="AL32" i="1"/>
  <c r="B32" i="1" s="1"/>
  <c r="C32" i="1" s="1"/>
  <c r="AL415" i="1"/>
  <c r="B415" i="1" s="1"/>
  <c r="C415" i="1" s="1"/>
  <c r="AL340" i="1"/>
  <c r="B340" i="1" s="1"/>
  <c r="C340" i="1" s="1"/>
  <c r="AL497" i="1"/>
  <c r="B497" i="1" s="1"/>
  <c r="C497" i="1" s="1"/>
  <c r="AL173" i="1"/>
  <c r="B173" i="1" s="1"/>
  <c r="C173" i="1" s="1"/>
  <c r="AL246" i="1"/>
  <c r="B246" i="1" s="1"/>
  <c r="C246" i="1" s="1"/>
  <c r="AL98" i="1"/>
  <c r="B98" i="1" s="1"/>
  <c r="C98" i="1" s="1"/>
  <c r="AL451" i="1"/>
  <c r="B451" i="1" s="1"/>
  <c r="C451" i="1" s="1"/>
  <c r="AL234" i="1"/>
  <c r="B234" i="1" s="1"/>
  <c r="C234" i="1" s="1"/>
  <c r="AL127" i="1"/>
  <c r="B127" i="1" s="1"/>
  <c r="C127" i="1" s="1"/>
  <c r="AL436" i="1"/>
  <c r="B436" i="1" s="1"/>
  <c r="C436" i="1" s="1"/>
  <c r="AL223" i="1"/>
  <c r="B223" i="1" s="1"/>
  <c r="C223" i="1" s="1"/>
  <c r="AL447" i="1"/>
  <c r="B447" i="1" s="1"/>
  <c r="C447" i="1" s="1"/>
  <c r="AL259" i="1"/>
  <c r="B259" i="1" s="1"/>
  <c r="C259" i="1" s="1"/>
  <c r="AL490" i="1"/>
  <c r="B490" i="1" s="1"/>
  <c r="C490" i="1" s="1"/>
  <c r="AL225" i="1"/>
  <c r="B225" i="1" s="1"/>
  <c r="C225" i="1" s="1"/>
  <c r="AL454" i="1"/>
  <c r="B454" i="1" s="1"/>
  <c r="C454" i="1" s="1"/>
  <c r="AL243" i="1"/>
  <c r="B243" i="1" s="1"/>
  <c r="C243" i="1" s="1"/>
  <c r="AL333" i="1"/>
  <c r="B333" i="1" s="1"/>
  <c r="C333" i="1" s="1"/>
  <c r="AL100" i="1"/>
  <c r="B100" i="1" s="1"/>
  <c r="C100" i="1" s="1"/>
  <c r="AL152" i="1"/>
  <c r="B152" i="1" s="1"/>
  <c r="C152" i="1" s="1"/>
  <c r="AL63" i="1"/>
  <c r="B63" i="1" s="1"/>
  <c r="C63" i="1" s="1"/>
  <c r="AL91" i="1"/>
  <c r="B91" i="1" s="1"/>
  <c r="C91" i="1" s="1"/>
  <c r="AL190" i="1"/>
  <c r="B190" i="1" s="1"/>
  <c r="C190" i="1" s="1"/>
  <c r="AL65" i="1"/>
  <c r="B65" i="1" s="1"/>
  <c r="C65" i="1" s="1"/>
  <c r="AL140" i="1"/>
  <c r="B140" i="1" s="1"/>
  <c r="C140" i="1" s="1"/>
  <c r="AL142" i="1"/>
  <c r="B142" i="1" s="1"/>
  <c r="C142" i="1" s="1"/>
  <c r="AL351" i="1"/>
  <c r="B351" i="1" s="1"/>
  <c r="C351" i="1" s="1"/>
  <c r="AL272" i="1"/>
  <c r="B272" i="1" s="1"/>
  <c r="C272" i="1" s="1"/>
  <c r="AL53" i="1"/>
  <c r="B53" i="1" s="1"/>
  <c r="C53" i="1" s="1"/>
  <c r="AL460" i="1"/>
  <c r="B460" i="1" s="1"/>
  <c r="C460" i="1" s="1"/>
  <c r="AL349" i="1"/>
  <c r="B349" i="1" s="1"/>
  <c r="C349" i="1" s="1"/>
  <c r="AL148" i="1"/>
  <c r="B148" i="1" s="1"/>
  <c r="C148" i="1" s="1"/>
  <c r="AL255" i="1"/>
  <c r="B255" i="1" s="1"/>
  <c r="C255" i="1" s="1"/>
  <c r="AL236" i="1"/>
  <c r="B236" i="1" s="1"/>
  <c r="C236" i="1" s="1"/>
  <c r="AL526" i="1"/>
  <c r="B526" i="1" s="1"/>
  <c r="C526" i="1" s="1"/>
  <c r="AL479" i="1"/>
  <c r="B479" i="1" s="1"/>
  <c r="C479" i="1" s="1"/>
  <c r="AL387" i="1"/>
  <c r="B387" i="1" s="1"/>
  <c r="C387" i="1" s="1"/>
  <c r="AL44" i="1"/>
  <c r="B44" i="1" s="1"/>
  <c r="C44" i="1" s="1"/>
  <c r="AL250" i="1"/>
  <c r="B250" i="1" s="1"/>
  <c r="C250" i="1" s="1"/>
  <c r="AL443" i="1"/>
  <c r="B443" i="1" s="1"/>
  <c r="C443" i="1" s="1"/>
  <c r="AL439" i="1"/>
  <c r="B439" i="1" s="1"/>
  <c r="C439" i="1" s="1"/>
  <c r="AL227" i="1"/>
  <c r="B227" i="1" s="1"/>
  <c r="C227" i="1" s="1"/>
  <c r="AL527" i="1"/>
  <c r="B3" i="17"/>
  <c r="A531" i="1"/>
  <c r="AL531" i="1" l="1"/>
  <c r="AW526" i="1"/>
  <c r="AV529" i="1"/>
  <c r="G3" i="17"/>
  <c r="H3" i="17"/>
  <c r="C3" i="17"/>
  <c r="E3" i="17"/>
  <c r="F3" i="17"/>
  <c r="D3" i="17"/>
  <c r="AX529" i="1" l="1"/>
  <c r="AW529" i="1"/>
  <c r="J3" i="17"/>
  <c r="A3" i="17"/>
  <c r="A532" i="1"/>
  <c r="AK527" i="1"/>
  <c r="AF454" i="1"/>
  <c r="AF272" i="1"/>
  <c r="AE401" i="1"/>
  <c r="AF273" i="1"/>
  <c r="AF194" i="1"/>
  <c r="AE197" i="1"/>
  <c r="AF432" i="1"/>
  <c r="AF265" i="1"/>
  <c r="AF115" i="1"/>
  <c r="AF457" i="1"/>
  <c r="AE268" i="1"/>
  <c r="AF516" i="1"/>
  <c r="AF317" i="1"/>
  <c r="AE186" i="1"/>
  <c r="AF330" i="1"/>
  <c r="AE96" i="1"/>
  <c r="AE389" i="1"/>
  <c r="AF331" i="1"/>
  <c r="AE16" i="1"/>
  <c r="AE204" i="1"/>
  <c r="AF514" i="1"/>
  <c r="AE14" i="1"/>
  <c r="AE4" i="1"/>
  <c r="AF106" i="1"/>
  <c r="AF290" i="1"/>
  <c r="AE77" i="1"/>
  <c r="AF402" i="1"/>
  <c r="AF199" i="1"/>
  <c r="AE462" i="1"/>
  <c r="AF293" i="1"/>
  <c r="AE137" i="1"/>
  <c r="AF465" i="1"/>
  <c r="AE337" i="1"/>
  <c r="AF7" i="1"/>
  <c r="AE524" i="1"/>
  <c r="AF328" i="1"/>
  <c r="AE160" i="1"/>
  <c r="AF30" i="1"/>
  <c r="AE357" i="1"/>
  <c r="AF118" i="1"/>
  <c r="AE458" i="1"/>
  <c r="AE354" i="1"/>
  <c r="AF175" i="1"/>
  <c r="AE480" i="1"/>
  <c r="AE280" i="1"/>
  <c r="AE146" i="1"/>
  <c r="AF501" i="1"/>
  <c r="AF300" i="1"/>
  <c r="AE202" i="1"/>
  <c r="AF368" i="1"/>
  <c r="AF216" i="1"/>
  <c r="AF337" i="1"/>
  <c r="AE154" i="1"/>
  <c r="AE148" i="1"/>
  <c r="AE463" i="1"/>
  <c r="AE308" i="1"/>
  <c r="AE253" i="1"/>
  <c r="AI527" i="1"/>
  <c r="AE180" i="1"/>
  <c r="AE415" i="1"/>
  <c r="AE179" i="1"/>
  <c r="AF460" i="1"/>
  <c r="AE408" i="1"/>
  <c r="AE185" i="1"/>
  <c r="AF483" i="1"/>
  <c r="AF390" i="1"/>
  <c r="AE65" i="1"/>
  <c r="AE95" i="1"/>
  <c r="AE368" i="1"/>
  <c r="AE508" i="1"/>
  <c r="AF309" i="1"/>
  <c r="AF366" i="1"/>
  <c r="AE411" i="1"/>
  <c r="AF25" i="1"/>
  <c r="AF68" i="1"/>
  <c r="AF479" i="1"/>
  <c r="AE388" i="1"/>
  <c r="AE227" i="1"/>
  <c r="AF491" i="1"/>
  <c r="AE420" i="1"/>
  <c r="AF51" i="1"/>
  <c r="AE231" i="1"/>
  <c r="AF352" i="1"/>
  <c r="AE201" i="1"/>
  <c r="AF146" i="1"/>
  <c r="AF57" i="1"/>
  <c r="AE440" i="1"/>
  <c r="AE370" i="1"/>
  <c r="AE164" i="1"/>
  <c r="AE110" i="1"/>
  <c r="AE500" i="1"/>
  <c r="AE18" i="1"/>
  <c r="AF223" i="1"/>
  <c r="AF320" i="1"/>
  <c r="AF191" i="1"/>
  <c r="AE526" i="1"/>
  <c r="AE432" i="1"/>
  <c r="AF304" i="1"/>
  <c r="AE515" i="1"/>
  <c r="AF421" i="1"/>
  <c r="AE193" i="1"/>
  <c r="AE100" i="1"/>
  <c r="AF341" i="1"/>
  <c r="AF166" i="1"/>
  <c r="AF310" i="1"/>
  <c r="AF379" i="1"/>
  <c r="AF110" i="1"/>
  <c r="AE398" i="1"/>
  <c r="AF44" i="1"/>
  <c r="AE495" i="1"/>
  <c r="AE429" i="1"/>
  <c r="AF529" i="1"/>
  <c r="AF369" i="1"/>
  <c r="AF469" i="1"/>
  <c r="AF182" i="1"/>
  <c r="AF401" i="1"/>
  <c r="AF340" i="1"/>
  <c r="AF78" i="1"/>
  <c r="AF100" i="1"/>
  <c r="AF326" i="1"/>
  <c r="AE103" i="1"/>
  <c r="AE503" i="1"/>
  <c r="AE267" i="1"/>
  <c r="AE372" i="1"/>
  <c r="AE272" i="1"/>
  <c r="AF200" i="1"/>
  <c r="AE509" i="1"/>
  <c r="AE288" i="1"/>
  <c r="AE87" i="1"/>
  <c r="AE431" i="1"/>
  <c r="AF301" i="1"/>
  <c r="AE134" i="1"/>
  <c r="AF205" i="1"/>
  <c r="AF376" i="1"/>
  <c r="AE214" i="1"/>
  <c r="AF87" i="1"/>
  <c r="AF500" i="1"/>
  <c r="AE396" i="1"/>
  <c r="AF63" i="1"/>
  <c r="AF49" i="1"/>
  <c r="AF274" i="1"/>
  <c r="AE306" i="1"/>
  <c r="AF5" i="1"/>
  <c r="AF329" i="1"/>
  <c r="AE436" i="1"/>
  <c r="AF395" i="1"/>
  <c r="AE206" i="1"/>
  <c r="AE375" i="1"/>
  <c r="AE165" i="1"/>
  <c r="AF21" i="1"/>
  <c r="AF458" i="1"/>
  <c r="AF308" i="1"/>
  <c r="AF256" i="1"/>
  <c r="AF408" i="1"/>
  <c r="AE79" i="1"/>
  <c r="AF417" i="1"/>
  <c r="AF431" i="1"/>
  <c r="AE239" i="1"/>
  <c r="AF4" i="1"/>
  <c r="AE491" i="1"/>
  <c r="AE138" i="1"/>
  <c r="AF463" i="1"/>
  <c r="AE166" i="1"/>
  <c r="AF466" i="1"/>
  <c r="AF359" i="1"/>
  <c r="AE247" i="1"/>
  <c r="AE454" i="1"/>
  <c r="AE312" i="1"/>
  <c r="AF60" i="1"/>
  <c r="AI529" i="1"/>
  <c r="AF527" i="1"/>
  <c r="AF488" i="1"/>
  <c r="AF396" i="1"/>
  <c r="AE407" i="1"/>
  <c r="AE294" i="1"/>
  <c r="AF212" i="1"/>
  <c r="AF351" i="1"/>
  <c r="AF410" i="1"/>
  <c r="AF209" i="1"/>
  <c r="AE28" i="1"/>
  <c r="AE497" i="1"/>
  <c r="AE76" i="1"/>
  <c r="AE349" i="1"/>
  <c r="AF134" i="1"/>
  <c r="AF485" i="1"/>
  <c r="AF380" i="1"/>
  <c r="AF237" i="1"/>
  <c r="AF426" i="1"/>
  <c r="AF261" i="1"/>
  <c r="AE158" i="1"/>
  <c r="AF202" i="1"/>
  <c r="AF294" i="1"/>
  <c r="AF8" i="1"/>
  <c r="AE123" i="1"/>
  <c r="AE439" i="1"/>
  <c r="AE281" i="1"/>
  <c r="AE194" i="1"/>
  <c r="AE70" i="1"/>
  <c r="AE163" i="1"/>
  <c r="AE409" i="1"/>
  <c r="AF26" i="1"/>
  <c r="AE94" i="1"/>
  <c r="AF476" i="1"/>
  <c r="AF266" i="1"/>
  <c r="AE175" i="1"/>
  <c r="AE522" i="1"/>
  <c r="AF420" i="1"/>
  <c r="AF248" i="1"/>
  <c r="AE391" i="1"/>
  <c r="AF298" i="1"/>
  <c r="AF45" i="1"/>
  <c r="AE481" i="1"/>
  <c r="AE230" i="1"/>
  <c r="AE7" i="1"/>
  <c r="AE516" i="1"/>
  <c r="AF280" i="1"/>
  <c r="AF133" i="1"/>
  <c r="AE322" i="1"/>
  <c r="AE277" i="1"/>
  <c r="AE448" i="1"/>
  <c r="AF343" i="1"/>
  <c r="AF503" i="1"/>
  <c r="AE412" i="1"/>
  <c r="AE130" i="1"/>
  <c r="AF156" i="1"/>
  <c r="AE384" i="1"/>
  <c r="AF169" i="1"/>
  <c r="AF14" i="1"/>
  <c r="AE485" i="1"/>
  <c r="AE317" i="1"/>
  <c r="AF213" i="1"/>
  <c r="AF276" i="1"/>
  <c r="AE353" i="1"/>
  <c r="AF333" i="1"/>
  <c r="AF34" i="1"/>
  <c r="AE328" i="1"/>
  <c r="AE49" i="1"/>
  <c r="AE84" i="1"/>
  <c r="AE184" i="1"/>
  <c r="AF406" i="1"/>
  <c r="AF515" i="1"/>
  <c r="AE107" i="1"/>
  <c r="AF440" i="1"/>
  <c r="AE54" i="1"/>
  <c r="AE67" i="1"/>
  <c r="AF184" i="1"/>
  <c r="AE464" i="1"/>
  <c r="AF306" i="1"/>
  <c r="AE207" i="1"/>
  <c r="AF125" i="1"/>
  <c r="AE445" i="1"/>
  <c r="AF28" i="1"/>
  <c r="AF9" i="1"/>
  <c r="AE383" i="1"/>
  <c r="AE82" i="1"/>
  <c r="AF388" i="1"/>
  <c r="AE505" i="1"/>
  <c r="AE457" i="1"/>
  <c r="AE352" i="1"/>
  <c r="AF149" i="1"/>
  <c r="AF130" i="1"/>
  <c r="AF403" i="1"/>
  <c r="AE381" i="1"/>
  <c r="AF255" i="1"/>
  <c r="AE150" i="1"/>
  <c r="AE507" i="1"/>
  <c r="AF287" i="1"/>
  <c r="AE182" i="1"/>
  <c r="AF434" i="1"/>
  <c r="AE263" i="1"/>
  <c r="AF136" i="1"/>
  <c r="AE92" i="1"/>
  <c r="AF381" i="1"/>
  <c r="AF153" i="1"/>
  <c r="AE333" i="1"/>
  <c r="AE6" i="1"/>
  <c r="AE494" i="1"/>
  <c r="AF283" i="1"/>
  <c r="AE153" i="1"/>
  <c r="AF443" i="1"/>
  <c r="AF286" i="1"/>
  <c r="AF120" i="1"/>
  <c r="AE145" i="1"/>
  <c r="AE364" i="1"/>
  <c r="AF188" i="1"/>
  <c r="AE527" i="1"/>
  <c r="AF462" i="1"/>
  <c r="AF387" i="1"/>
  <c r="AE125" i="1"/>
  <c r="AE304" i="1"/>
  <c r="AE219" i="1"/>
  <c r="AF180" i="1"/>
  <c r="AE321" i="1"/>
  <c r="AE83" i="1"/>
  <c r="AF40" i="1"/>
  <c r="AE490" i="1"/>
  <c r="AF92" i="1"/>
  <c r="AF282" i="1"/>
  <c r="AE167" i="1"/>
  <c r="AF504" i="1"/>
  <c r="AF278" i="1"/>
  <c r="AF103" i="1"/>
  <c r="AF407" i="1"/>
  <c r="AF347" i="1"/>
  <c r="AF364" i="1"/>
  <c r="AF178" i="1"/>
  <c r="AE385" i="1"/>
  <c r="AE212" i="1"/>
  <c r="AE187" i="1"/>
  <c r="AF23" i="1"/>
  <c r="AE367" i="1"/>
  <c r="AE88" i="1"/>
  <c r="AE403" i="1"/>
  <c r="AE205" i="1"/>
  <c r="AF292" i="1"/>
  <c r="AF102" i="1"/>
  <c r="AE444" i="1"/>
  <c r="AE250" i="1"/>
  <c r="AE213" i="1"/>
  <c r="AE325" i="1"/>
  <c r="AE499" i="1"/>
  <c r="AE293" i="1"/>
  <c r="AF86" i="1"/>
  <c r="AE200" i="1"/>
  <c r="AE40" i="1"/>
  <c r="AE468" i="1"/>
  <c r="AF345" i="1"/>
  <c r="AE152" i="1"/>
  <c r="AF518" i="1"/>
  <c r="AF398" i="1"/>
  <c r="AE128" i="1"/>
  <c r="AF138" i="1"/>
  <c r="AE393" i="1"/>
  <c r="AF121" i="1"/>
  <c r="AE42" i="1"/>
  <c r="AE307" i="1"/>
  <c r="AF18" i="1"/>
  <c r="AE9" i="1"/>
  <c r="AE198" i="1"/>
  <c r="AF467" i="1"/>
  <c r="AF400" i="1"/>
  <c r="AE246" i="1"/>
  <c r="AF480" i="1"/>
  <c r="AE511" i="1"/>
  <c r="AE234" i="1"/>
  <c r="AF219" i="1"/>
  <c r="AF413" i="1"/>
  <c r="AE68" i="1"/>
  <c r="AE529" i="1"/>
  <c r="AE470" i="1"/>
  <c r="AF346" i="1"/>
  <c r="AF377" i="1"/>
  <c r="AF384" i="1"/>
  <c r="AF82" i="1"/>
  <c r="AF238" i="1"/>
  <c r="AF494" i="1"/>
  <c r="AF358" i="1"/>
  <c r="AE15" i="1"/>
  <c r="AF492" i="1"/>
  <c r="AF38" i="1"/>
  <c r="AE183" i="1"/>
  <c r="AF404" i="1"/>
  <c r="AF394" i="1"/>
  <c r="AF41" i="1"/>
  <c r="AF93" i="1"/>
  <c r="AF448" i="1"/>
  <c r="AF160" i="1"/>
  <c r="AE326" i="1"/>
  <c r="AF239" i="1"/>
  <c r="AF73" i="1"/>
  <c r="AE514" i="1"/>
  <c r="AF181" i="1"/>
  <c r="AF98" i="1"/>
  <c r="AF312" i="1"/>
  <c r="AF107" i="1"/>
  <c r="AE244" i="1"/>
  <c r="AF441" i="1"/>
  <c r="AE356" i="1"/>
  <c r="AE8" i="1"/>
  <c r="AE297" i="1"/>
  <c r="AE345" i="1"/>
  <c r="AE120" i="1"/>
  <c r="AF142" i="1"/>
  <c r="AF225" i="1"/>
  <c r="AE278" i="1"/>
  <c r="AF257" i="1"/>
  <c r="AE351" i="1"/>
  <c r="AF113" i="1"/>
  <c r="AF481" i="1"/>
  <c r="AE261" i="1"/>
  <c r="AF10" i="1"/>
  <c r="AF318" i="1"/>
  <c r="AE335" i="1"/>
  <c r="AE257" i="1"/>
  <c r="AE26" i="1"/>
  <c r="AE342" i="1"/>
  <c r="AE5" i="1"/>
  <c r="AF55" i="1"/>
  <c r="AF464" i="1"/>
  <c r="AF354" i="1"/>
  <c r="AF253" i="1"/>
  <c r="AF108" i="1"/>
  <c r="AF322" i="1"/>
  <c r="AE302" i="1"/>
  <c r="AF183" i="1"/>
  <c r="AF430" i="1"/>
  <c r="AE117" i="1"/>
  <c r="AF349" i="1"/>
  <c r="AE129" i="1"/>
  <c r="AE465" i="1"/>
  <c r="AF252" i="1"/>
  <c r="AF158" i="1"/>
  <c r="AE58" i="1"/>
  <c r="AF362" i="1"/>
  <c r="AE71" i="1"/>
  <c r="AF452" i="1"/>
  <c r="AE320" i="1"/>
  <c r="AF77" i="1"/>
  <c r="AF474" i="1"/>
  <c r="AE371" i="1"/>
  <c r="AE173" i="1"/>
  <c r="AF76" i="1"/>
  <c r="AE406" i="1"/>
  <c r="AF497" i="1"/>
  <c r="AF323" i="1"/>
  <c r="AE501" i="1"/>
  <c r="AF342" i="1"/>
  <c r="AF65" i="1"/>
  <c r="AE310" i="1"/>
  <c r="AF268" i="1"/>
  <c r="AE492" i="1"/>
  <c r="AE44" i="1"/>
  <c r="AF327" i="1"/>
  <c r="AF116" i="1"/>
  <c r="AE73" i="1"/>
  <c r="AF104" i="1"/>
  <c r="AF444" i="1"/>
  <c r="AE421" i="1"/>
  <c r="AF227" i="1"/>
  <c r="AE498" i="1"/>
  <c r="AF423" i="1"/>
  <c r="AF132" i="1"/>
  <c r="AF524" i="1"/>
  <c r="AE275" i="1"/>
  <c r="AF94" i="1"/>
  <c r="AE199" i="1"/>
  <c r="AE27" i="1"/>
  <c r="AF477" i="1"/>
  <c r="AE238" i="1"/>
  <c r="AE169" i="1"/>
  <c r="AF210" i="1"/>
  <c r="AE270" i="1"/>
  <c r="AE266" i="1"/>
  <c r="AF197" i="1"/>
  <c r="AF389" i="1"/>
  <c r="AF506" i="1"/>
  <c r="AE362" i="1"/>
  <c r="AF173" i="1"/>
  <c r="AF416" i="1"/>
  <c r="AE236" i="1"/>
  <c r="AF211" i="1"/>
  <c r="AE475" i="1"/>
  <c r="AE423" i="1"/>
  <c r="AE210" i="1"/>
  <c r="AF201" i="1"/>
  <c r="AF493" i="1"/>
  <c r="AF338" i="1"/>
  <c r="AF36" i="1"/>
  <c r="AE3" i="1"/>
  <c r="AE471" i="1"/>
  <c r="AF427" i="1"/>
  <c r="AE143" i="1"/>
  <c r="AE512" i="1"/>
  <c r="AE338" i="1"/>
  <c r="AE223" i="1"/>
  <c r="AF270" i="1"/>
  <c r="AF321" i="1"/>
  <c r="AE34" i="1"/>
  <c r="AF468" i="1"/>
  <c r="AE282" i="1"/>
  <c r="AF54" i="1"/>
  <c r="AE493" i="1"/>
  <c r="AE402" i="1"/>
  <c r="AF214" i="1"/>
  <c r="AF507" i="1"/>
  <c r="AF419" i="1"/>
  <c r="AE504" i="1"/>
  <c r="AE473" i="1"/>
  <c r="AF221" i="1"/>
  <c r="AE269" i="1"/>
  <c r="AE86" i="1"/>
  <c r="AE369" i="1"/>
  <c r="AE392" i="1"/>
  <c r="AF20" i="1"/>
  <c r="AF39" i="1"/>
  <c r="AF508" i="1"/>
  <c r="AE427" i="1"/>
  <c r="AF152" i="1"/>
  <c r="AF96" i="1"/>
  <c r="AE225" i="1"/>
  <c r="AF336" i="1"/>
  <c r="AE46" i="1"/>
  <c r="AE192" i="1"/>
  <c r="AE161" i="1"/>
  <c r="AE518" i="1"/>
  <c r="AF393" i="1"/>
  <c r="AE299" i="1"/>
  <c r="AF192" i="1"/>
  <c r="AF471" i="1"/>
  <c r="AE237" i="1"/>
  <c r="AE413" i="1"/>
  <c r="AE255" i="1"/>
  <c r="AE55" i="1"/>
  <c r="AE305" i="1"/>
  <c r="AE133" i="1"/>
  <c r="AF456" i="1"/>
  <c r="AE376" i="1"/>
  <c r="AF193" i="1"/>
  <c r="AF511" i="1"/>
  <c r="AE410" i="1"/>
  <c r="AE116" i="1"/>
  <c r="AE23" i="1"/>
  <c r="AE343" i="1"/>
  <c r="AF164" i="1"/>
  <c r="AF391" i="1"/>
  <c r="AF357" i="1"/>
  <c r="AE241" i="1"/>
  <c r="AF383" i="1"/>
  <c r="AF447" i="1"/>
  <c r="AE466" i="1"/>
  <c r="AF168" i="1"/>
  <c r="AE41" i="1"/>
  <c r="AF439" i="1"/>
  <c r="AE359" i="1"/>
  <c r="AF109" i="1"/>
  <c r="AE190" i="1"/>
  <c r="AF370" i="1"/>
  <c r="AE259" i="1"/>
  <c r="AF58" i="1"/>
  <c r="AE506" i="1"/>
  <c r="AF247" i="1"/>
  <c r="AF101" i="1"/>
  <c r="AF89" i="1"/>
  <c r="AE256" i="1"/>
  <c r="AE296" i="1"/>
  <c r="AF61" i="1"/>
  <c r="AF171" i="1"/>
  <c r="AF495" i="1"/>
  <c r="AF302" i="1"/>
  <c r="AF75" i="1"/>
  <c r="AE387" i="1"/>
  <c r="AE108" i="1"/>
  <c r="AE181" i="1"/>
  <c r="AF163" i="1"/>
  <c r="AE430" i="1"/>
  <c r="AF371" i="1"/>
  <c r="AE25" i="1"/>
  <c r="AF207" i="1"/>
  <c r="AE45" i="1"/>
  <c r="AE330" i="1"/>
  <c r="AF88" i="1"/>
  <c r="AE51" i="1"/>
  <c r="AE452" i="1"/>
  <c r="AE380" i="1"/>
  <c r="AE155" i="1"/>
  <c r="AF174" i="1"/>
  <c r="AF374" i="1"/>
  <c r="AF234" i="1"/>
  <c r="AE174" i="1"/>
  <c r="AE400" i="1"/>
  <c r="AE11" i="1"/>
  <c r="AF95" i="1"/>
  <c r="AF16" i="1"/>
  <c r="AF490" i="1"/>
  <c r="AE346" i="1"/>
  <c r="AE102" i="1"/>
  <c r="AE156" i="1"/>
  <c r="AE341" i="1"/>
  <c r="AE53" i="1"/>
  <c r="AE248" i="1"/>
  <c r="AF284" i="1"/>
  <c r="AE56" i="1"/>
  <c r="AF47" i="1"/>
  <c r="AF355" i="1"/>
  <c r="AF161" i="1"/>
  <c r="AE285" i="1"/>
  <c r="AE209" i="1"/>
  <c r="AF487" i="1"/>
  <c r="AE32" i="1"/>
  <c r="AF473" i="1"/>
  <c r="AF289" i="1"/>
  <c r="AF259" i="1"/>
  <c r="AE93" i="1"/>
  <c r="AE171" i="1"/>
  <c r="AF311" i="1"/>
  <c r="AF114" i="1"/>
  <c r="AE66" i="1"/>
  <c r="AF80" i="1"/>
  <c r="AF409" i="1"/>
  <c r="AF243" i="1"/>
  <c r="AE81" i="1"/>
  <c r="AE488" i="1"/>
  <c r="AE323" i="1"/>
  <c r="AF84" i="1"/>
  <c r="AE140" i="1"/>
  <c r="AF299" i="1"/>
  <c r="AE36" i="1"/>
  <c r="AE417" i="1"/>
  <c r="AE289" i="1"/>
  <c r="AE211" i="1"/>
  <c r="AF522" i="1"/>
  <c r="AE295" i="1"/>
  <c r="AF127" i="1"/>
  <c r="AE477" i="1"/>
  <c r="AF295" i="1"/>
  <c r="AE196" i="1"/>
  <c r="AF363" i="1"/>
  <c r="AF307" i="1"/>
  <c r="AE487" i="1"/>
  <c r="AE344" i="1"/>
  <c r="AF314" i="1"/>
  <c r="AE309" i="1"/>
  <c r="AE243" i="1"/>
  <c r="AF231" i="1"/>
  <c r="AE455" i="1"/>
  <c r="AF217" i="1"/>
  <c r="AE78" i="1"/>
  <c r="AF451" i="1"/>
  <c r="AF344" i="1"/>
  <c r="AE399" i="1"/>
  <c r="AE30" i="1"/>
  <c r="AE286" i="1"/>
  <c r="AE113" i="1"/>
  <c r="AF499" i="1"/>
  <c r="AF154" i="1"/>
  <c r="AE434" i="1"/>
  <c r="AE300" i="1"/>
  <c r="AF27" i="1"/>
  <c r="AE447" i="1"/>
  <c r="AF277" i="1"/>
  <c r="AF148" i="1"/>
  <c r="AE109" i="1"/>
  <c r="AF334" i="1"/>
  <c r="AF46" i="1"/>
  <c r="AE221" i="1"/>
  <c r="AF70" i="1"/>
  <c r="AF472" i="1"/>
  <c r="AE340" i="1"/>
  <c r="AF187" i="1"/>
  <c r="AE188" i="1"/>
  <c r="AF285" i="1"/>
  <c r="AE290" i="1"/>
  <c r="AE61" i="1"/>
  <c r="AE377" i="1"/>
  <c r="AF512" i="1"/>
  <c r="AF429" i="1"/>
  <c r="AE101" i="1"/>
  <c r="AF475" i="1"/>
  <c r="AE311" i="1"/>
  <c r="AF6" i="1"/>
  <c r="AF117" i="1"/>
  <c r="AF356" i="1"/>
  <c r="AF165" i="1"/>
  <c r="AE119" i="1"/>
  <c r="AE178" i="1"/>
  <c r="AE474" i="1"/>
  <c r="AF198" i="1"/>
  <c r="AE136" i="1"/>
  <c r="AE476" i="1"/>
  <c r="AE292" i="1"/>
  <c r="AE301" i="1"/>
  <c r="AE19" i="1"/>
  <c r="AE298" i="1"/>
  <c r="AF204" i="1"/>
  <c r="AE114" i="1"/>
  <c r="AF296" i="1"/>
  <c r="AE127" i="1"/>
  <c r="AF131" i="1"/>
  <c r="AF206" i="1"/>
  <c r="AE443" i="1"/>
  <c r="AF360" i="1"/>
  <c r="AE363" i="1"/>
  <c r="AF129" i="1"/>
  <c r="AF53" i="1"/>
  <c r="AE265" i="1"/>
  <c r="AF437" i="1"/>
  <c r="AE284" i="1"/>
  <c r="AE229" i="1"/>
  <c r="AF449" i="1"/>
  <c r="AE404" i="1"/>
  <c r="AF236" i="1"/>
  <c r="AE316" i="1"/>
  <c r="AE336" i="1"/>
  <c r="AE437" i="1"/>
  <c r="AE334" i="1"/>
  <c r="AF128" i="1"/>
  <c r="AF229" i="1"/>
  <c r="AF509" i="1"/>
  <c r="AF424" i="1"/>
  <c r="AE89" i="1"/>
  <c r="AE472" i="1"/>
  <c r="AE315" i="1"/>
  <c r="AF445" i="1"/>
  <c r="AF353" i="1"/>
  <c r="AE329" i="1"/>
  <c r="AE358" i="1"/>
  <c r="AF3" i="1"/>
  <c r="AF140" i="1"/>
  <c r="AF375" i="1"/>
  <c r="AF246" i="1"/>
  <c r="AF190" i="1"/>
  <c r="AF455" i="1"/>
  <c r="AF179" i="1"/>
  <c r="AF112" i="1"/>
  <c r="AE276" i="1"/>
  <c r="AF267" i="1"/>
  <c r="AF71" i="1"/>
  <c r="AF232" i="1"/>
  <c r="AE38" i="1"/>
  <c r="AE469" i="1"/>
  <c r="AF81" i="1"/>
  <c r="AE21" i="1"/>
  <c r="AE520" i="1"/>
  <c r="AE374" i="1"/>
  <c r="AE112" i="1"/>
  <c r="AE274" i="1"/>
  <c r="AF263" i="1"/>
  <c r="AF143" i="1"/>
  <c r="AE47" i="1"/>
  <c r="AF19" i="1"/>
  <c r="AE347" i="1"/>
  <c r="AE121" i="1"/>
  <c r="AF11" i="1"/>
  <c r="AF196" i="1"/>
  <c r="AF241" i="1"/>
  <c r="AE390" i="1"/>
  <c r="AF119" i="1"/>
  <c r="AF297" i="1"/>
  <c r="AF436" i="1"/>
  <c r="AE355" i="1"/>
  <c r="AE115" i="1"/>
  <c r="AE287" i="1"/>
  <c r="AE142" i="1"/>
  <c r="AF42" i="1"/>
  <c r="AF470" i="1"/>
  <c r="AE331" i="1"/>
  <c r="AE191" i="1"/>
  <c r="AE132" i="1"/>
  <c r="AE394" i="1"/>
  <c r="AF288" i="1"/>
  <c r="AE217" i="1"/>
  <c r="AF186" i="1"/>
  <c r="AE366" i="1"/>
  <c r="AF399" i="1"/>
  <c r="AF137" i="1"/>
  <c r="AE479" i="1"/>
  <c r="AE424" i="1"/>
  <c r="AE75" i="1"/>
  <c r="AF269" i="1"/>
  <c r="AE426" i="1"/>
  <c r="AF67" i="1"/>
  <c r="AE283" i="1"/>
  <c r="AE419" i="1"/>
  <c r="AF91" i="1"/>
  <c r="AE416" i="1"/>
  <c r="AE252" i="1"/>
  <c r="AE98" i="1"/>
  <c r="AF281" i="1"/>
  <c r="AF123" i="1"/>
  <c r="AF150" i="1"/>
  <c r="AF367" i="1"/>
  <c r="AF32" i="1"/>
  <c r="AF250" i="1"/>
  <c r="AF230" i="1"/>
  <c r="AE176" i="1"/>
  <c r="AF392" i="1"/>
  <c r="AF66" i="1"/>
  <c r="AE318" i="1"/>
  <c r="AE451" i="1"/>
  <c r="AF305" i="1"/>
  <c r="AE10" i="1"/>
  <c r="AE360" i="1"/>
  <c r="AE168" i="1"/>
  <c r="AF526" i="1"/>
  <c r="AE441" i="1"/>
  <c r="AF335" i="1"/>
  <c r="AE456" i="1"/>
  <c r="AF275" i="1"/>
  <c r="AE63" i="1"/>
  <c r="AF316" i="1"/>
  <c r="AF415" i="1"/>
  <c r="AE91" i="1"/>
  <c r="AE13" i="1"/>
  <c r="AE483" i="1"/>
  <c r="AE106" i="1"/>
  <c r="AF315" i="1"/>
  <c r="AF185" i="1"/>
  <c r="AE449" i="1"/>
  <c r="AE327" i="1"/>
  <c r="AF15" i="1"/>
  <c r="AE80" i="1"/>
  <c r="AE425" i="1"/>
  <c r="AE149" i="1"/>
  <c r="AF372" i="1"/>
  <c r="AE273" i="1"/>
  <c r="AE57" i="1"/>
  <c r="AE39" i="1"/>
  <c r="AE460" i="1"/>
  <c r="AE395" i="1"/>
  <c r="AF170" i="1"/>
  <c r="AF244" i="1"/>
  <c r="AF176" i="1"/>
  <c r="AE422" i="1"/>
  <c r="AE232" i="1"/>
  <c r="AF505" i="1"/>
  <c r="AE314" i="1"/>
  <c r="AE379" i="1"/>
  <c r="AE60" i="1"/>
  <c r="AF498" i="1"/>
  <c r="AF385" i="1"/>
  <c r="AE118" i="1"/>
  <c r="AE20" i="1"/>
  <c r="AE216" i="1"/>
  <c r="AF411" i="1"/>
  <c r="AF83" i="1"/>
  <c r="AF325" i="1"/>
  <c r="AF167" i="1"/>
  <c r="AE467" i="1"/>
  <c r="AF422" i="1"/>
  <c r="AF56" i="1"/>
  <c r="AF520" i="1"/>
  <c r="AF145" i="1"/>
  <c r="AF412" i="1"/>
  <c r="AE170" i="1"/>
  <c r="AF13" i="1"/>
  <c r="AE104" i="1"/>
  <c r="AF425" i="1"/>
  <c r="AE131" i="1"/>
  <c r="AF79" i="1"/>
  <c r="AF155" i="1"/>
  <c r="B529" i="1" l="1"/>
  <c r="C529" i="1" s="1"/>
  <c r="AV527" i="1"/>
  <c r="AL532" i="1"/>
  <c r="I3" i="17"/>
  <c r="K3" i="17" s="1"/>
  <c r="A3" i="10"/>
  <c r="A533" i="1"/>
  <c r="AL533" i="1" l="1"/>
  <c r="AX527" i="1"/>
  <c r="AW527" i="1"/>
  <c r="L3" i="17"/>
  <c r="M3" i="10"/>
  <c r="N3" i="10"/>
  <c r="I3" i="10" s="1"/>
  <c r="K1" i="10" s="1"/>
  <c r="G3" i="10"/>
  <c r="E3" i="10"/>
  <c r="D3" i="10"/>
  <c r="H3" i="10"/>
  <c r="B3" i="10"/>
  <c r="C3" i="10"/>
  <c r="F3" i="10"/>
  <c r="A534" i="1"/>
  <c r="AL534" i="1" l="1"/>
  <c r="M3" i="17"/>
  <c r="J3" i="10"/>
  <c r="A535" i="1"/>
  <c r="AL535" i="1" l="1"/>
  <c r="K3" i="10"/>
  <c r="A536" i="1"/>
  <c r="AL536" i="1" l="1"/>
  <c r="L3" i="10"/>
  <c r="A537" i="1"/>
  <c r="AL537" i="1" l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447" i="1"/>
  <c r="AS397" i="1"/>
  <c r="AS62" i="1"/>
  <c r="AU62" i="1" s="1"/>
  <c r="AV62" i="1" s="1"/>
  <c r="AS52" i="1"/>
  <c r="AS510" i="1"/>
  <c r="AU510" i="1" s="1"/>
  <c r="AV510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437" i="1"/>
  <c r="AS430" i="1"/>
  <c r="AS519" i="1"/>
  <c r="AU519" i="1" s="1"/>
  <c r="AV519" i="1" s="1"/>
  <c r="AS64" i="1"/>
  <c r="AU64" i="1" s="1"/>
  <c r="AV64" i="1" s="1"/>
  <c r="AS144" i="1"/>
  <c r="AS245" i="1"/>
  <c r="AS50" i="1"/>
  <c r="AS339" i="1"/>
  <c r="AS235" i="1"/>
  <c r="AS159" i="1"/>
  <c r="AS260" i="1"/>
  <c r="A538" i="1"/>
  <c r="AL538" i="1" l="1"/>
  <c r="AU501" i="1"/>
  <c r="AV501" i="1" s="1"/>
  <c r="AW501" i="1" s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260" i="1"/>
  <c r="AV260" i="1" s="1"/>
  <c r="AU191" i="1"/>
  <c r="AV191" i="1" s="1"/>
  <c r="AW191" i="1" s="1"/>
  <c r="AU235" i="1"/>
  <c r="AV235" i="1" s="1"/>
  <c r="AU234" i="1"/>
  <c r="AV234" i="1" s="1"/>
  <c r="AW234" i="1" s="1"/>
  <c r="AU50" i="1"/>
  <c r="AV50" i="1" s="1"/>
  <c r="AU26" i="1"/>
  <c r="AV26" i="1" s="1"/>
  <c r="AW26" i="1" s="1"/>
  <c r="AU144" i="1"/>
  <c r="AV144" i="1" s="1"/>
  <c r="AX519" i="1"/>
  <c r="AU430" i="1"/>
  <c r="AV430" i="1" s="1"/>
  <c r="AW430" i="1" s="1"/>
  <c r="AX484" i="1"/>
  <c r="AX499" i="1"/>
  <c r="AX507" i="1"/>
  <c r="AU150" i="1"/>
  <c r="AV150" i="1" s="1"/>
  <c r="AW150" i="1" s="1"/>
  <c r="AU174" i="1"/>
  <c r="AV174" i="1" s="1"/>
  <c r="AW174" i="1" s="1"/>
  <c r="AU22" i="1"/>
  <c r="AV22" i="1" s="1"/>
  <c r="AU481" i="1"/>
  <c r="AV481" i="1" s="1"/>
  <c r="AW481" i="1" s="1"/>
  <c r="AX433" i="1"/>
  <c r="AX493" i="1"/>
  <c r="AX473" i="1"/>
  <c r="AU175" i="1"/>
  <c r="AV175" i="1" s="1"/>
  <c r="AW175" i="1" s="1"/>
  <c r="AU25" i="1"/>
  <c r="AV25" i="1" s="1"/>
  <c r="AW25" i="1" s="1"/>
  <c r="AU245" i="1"/>
  <c r="AV245" i="1" s="1"/>
  <c r="AX64" i="1"/>
  <c r="AX437" i="1"/>
  <c r="AU480" i="1"/>
  <c r="AV480" i="1" s="1"/>
  <c r="AW480" i="1" s="1"/>
  <c r="AX503" i="1"/>
  <c r="AX510" i="1"/>
  <c r="AU24" i="1"/>
  <c r="AV24" i="1" s="1"/>
  <c r="AW24" i="1" s="1"/>
  <c r="AU52" i="1"/>
  <c r="AV52" i="1" s="1"/>
  <c r="AX62" i="1"/>
  <c r="AX456" i="1"/>
  <c r="AX482" i="1"/>
  <c r="AX505" i="1"/>
  <c r="AX517" i="1"/>
  <c r="AU459" i="1"/>
  <c r="AV459" i="1" s="1"/>
  <c r="AW459" i="1" s="1"/>
  <c r="A539" i="1"/>
  <c r="AL539" i="1" l="1"/>
  <c r="AX501" i="1"/>
  <c r="AX447" i="1"/>
  <c r="AX171" i="1"/>
  <c r="AX163" i="1"/>
  <c r="AX22" i="1"/>
  <c r="AW22" i="1"/>
  <c r="AX480" i="1"/>
  <c r="AX175" i="1"/>
  <c r="AX481" i="1"/>
  <c r="AX52" i="1"/>
  <c r="AX24" i="1"/>
  <c r="AX245" i="1"/>
  <c r="AX25" i="1"/>
  <c r="AX459" i="1"/>
  <c r="AX174" i="1"/>
  <c r="AX150" i="1"/>
  <c r="AX430" i="1"/>
  <c r="AX144" i="1"/>
  <c r="AX26" i="1"/>
  <c r="AX50" i="1"/>
  <c r="AX234" i="1"/>
  <c r="AX235" i="1"/>
  <c r="AX191" i="1"/>
  <c r="AX260" i="1"/>
  <c r="A540" i="1"/>
  <c r="AL540" i="1" l="1"/>
  <c r="AU194" i="1"/>
  <c r="AV194" i="1" s="1"/>
  <c r="AX194" i="1" s="1"/>
  <c r="AU193" i="1"/>
  <c r="AV193" i="1" s="1"/>
  <c r="AX193" i="1" s="1"/>
  <c r="AU271" i="1"/>
  <c r="AV271" i="1" s="1"/>
  <c r="AX271" i="1" s="1"/>
  <c r="A541" i="1"/>
  <c r="AL541" i="1" l="1"/>
  <c r="AW194" i="1"/>
  <c r="AW193" i="1"/>
  <c r="AW271" i="1"/>
  <c r="A542" i="1"/>
  <c r="AL542" i="1" l="1"/>
  <c r="AU72" i="1"/>
  <c r="AV72" i="1" s="1"/>
  <c r="AW72" i="1" s="1"/>
  <c r="AU152" i="1"/>
  <c r="AV152" i="1" s="1"/>
  <c r="AX152" i="1" s="1"/>
  <c r="AU350" i="1"/>
  <c r="AV350" i="1" s="1"/>
  <c r="AX350" i="1" s="1"/>
  <c r="AU348" i="1"/>
  <c r="AV348" i="1" s="1"/>
  <c r="AW348" i="1" s="1"/>
  <c r="AU319" i="1"/>
  <c r="AV319" i="1" s="1"/>
  <c r="AX319" i="1" s="1"/>
  <c r="AU151" i="1"/>
  <c r="AV151" i="1" s="1"/>
  <c r="AW151" i="1" s="1"/>
  <c r="AU69" i="1"/>
  <c r="AV69" i="1" s="1"/>
  <c r="AW69" i="1" s="1"/>
  <c r="A543" i="1"/>
  <c r="AL543" i="1" l="1"/>
  <c r="AW350" i="1"/>
  <c r="AX151" i="1"/>
  <c r="AX72" i="1"/>
  <c r="AX69" i="1"/>
  <c r="AW319" i="1"/>
  <c r="AX348" i="1"/>
  <c r="AW152" i="1"/>
  <c r="A544" i="1"/>
  <c r="AL544" i="1" l="1"/>
  <c r="AS502" i="1"/>
  <c r="AS498" i="1"/>
  <c r="AS492" i="1"/>
  <c r="AU492" i="1" s="1"/>
  <c r="AV492" i="1" s="1"/>
  <c r="AS511" i="1"/>
  <c r="AU511" i="1" s="1"/>
  <c r="AV511" i="1" s="1"/>
  <c r="AS520" i="1"/>
  <c r="AS513" i="1"/>
  <c r="AU513" i="1" s="1"/>
  <c r="AV513" i="1" s="1"/>
  <c r="AS487" i="1"/>
  <c r="AU487" i="1" s="1"/>
  <c r="AV487" i="1" s="1"/>
  <c r="AS489" i="1"/>
  <c r="AU489" i="1" s="1"/>
  <c r="AV489" i="1" s="1"/>
  <c r="AS523" i="1"/>
  <c r="AU523" i="1" s="1"/>
  <c r="AV523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S365" i="1"/>
  <c r="AU365" i="1" s="1"/>
  <c r="AV365" i="1" s="1"/>
  <c r="AS162" i="1"/>
  <c r="AS208" i="1"/>
  <c r="AS72" i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22" i="1"/>
  <c r="AU522" i="1" s="1"/>
  <c r="AV522" i="1" s="1"/>
  <c r="AS495" i="1"/>
  <c r="AU495" i="1" s="1"/>
  <c r="AV495" i="1" s="1"/>
  <c r="AS508" i="1"/>
  <c r="AU508" i="1" s="1"/>
  <c r="AV508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S451" i="1"/>
  <c r="AS455" i="1"/>
  <c r="AU455" i="1" s="1"/>
  <c r="AV455" i="1" s="1"/>
  <c r="AS105" i="1"/>
  <c r="AS324" i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545" i="1"/>
  <c r="AL545" i="1" l="1"/>
  <c r="AU498" i="1"/>
  <c r="AV498" i="1" s="1"/>
  <c r="AX498" i="1" s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X429" i="1"/>
  <c r="AW429" i="1"/>
  <c r="AU39" i="1"/>
  <c r="AV39" i="1" s="1"/>
  <c r="AX39" i="1" s="1"/>
  <c r="AU169" i="1"/>
  <c r="AV169" i="1" s="1"/>
  <c r="AW169" i="1" s="1"/>
  <c r="AU40" i="1"/>
  <c r="AV40" i="1" s="1"/>
  <c r="AW40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46" i="1"/>
  <c r="AV46" i="1" s="1"/>
  <c r="AX46" i="1" s="1"/>
  <c r="AU41" i="1"/>
  <c r="AV41" i="1" s="1"/>
  <c r="AX41" i="1" s="1"/>
  <c r="AU179" i="1"/>
  <c r="AV179" i="1" s="1"/>
  <c r="AX179" i="1" s="1"/>
  <c r="AU263" i="1"/>
  <c r="AV263" i="1" s="1"/>
  <c r="AW263" i="1" s="1"/>
  <c r="AU60" i="1"/>
  <c r="AV60" i="1" s="1"/>
  <c r="AW60" i="1" s="1"/>
  <c r="AU42" i="1"/>
  <c r="AV42" i="1" s="1"/>
  <c r="AW42" i="1" s="1"/>
  <c r="AU38" i="1"/>
  <c r="AV38" i="1" s="1"/>
  <c r="AW38" i="1" s="1"/>
  <c r="AU47" i="1"/>
  <c r="AV47" i="1" s="1"/>
  <c r="AX47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U148" i="1"/>
  <c r="AV148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U158" i="1"/>
  <c r="AV158" i="1" s="1"/>
  <c r="AU105" i="1"/>
  <c r="AV105" i="1" s="1"/>
  <c r="AX455" i="1"/>
  <c r="AW455" i="1"/>
  <c r="AU155" i="1"/>
  <c r="AV155" i="1" s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U198" i="1"/>
  <c r="AV19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23" i="1"/>
  <c r="AX523" i="1"/>
  <c r="AW489" i="1"/>
  <c r="AX489" i="1"/>
  <c r="AW513" i="1"/>
  <c r="AX513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U486" i="1"/>
  <c r="AV486" i="1" s="1"/>
  <c r="AW490" i="1"/>
  <c r="AX490" i="1"/>
  <c r="AW514" i="1"/>
  <c r="AX514" i="1"/>
  <c r="AX497" i="1"/>
  <c r="AW497" i="1"/>
  <c r="AW508" i="1"/>
  <c r="AX508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487" i="1"/>
  <c r="AX487" i="1"/>
  <c r="AU520" i="1"/>
  <c r="AV520" i="1" s="1"/>
  <c r="AW498" i="1"/>
  <c r="A546" i="1"/>
  <c r="AL546" i="1" l="1"/>
  <c r="AX445" i="1"/>
  <c r="AW448" i="1"/>
  <c r="AW451" i="1"/>
  <c r="AW441" i="1"/>
  <c r="AW41" i="1"/>
  <c r="AX263" i="1"/>
  <c r="AW179" i="1"/>
  <c r="AX42" i="1"/>
  <c r="AX166" i="1"/>
  <c r="AX38" i="1"/>
  <c r="AX60" i="1"/>
  <c r="AW46" i="1"/>
  <c r="AX167" i="1"/>
  <c r="AX40" i="1"/>
  <c r="AX170" i="1"/>
  <c r="AW47" i="1"/>
  <c r="AX168" i="1"/>
  <c r="AX169" i="1"/>
  <c r="AW3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491" i="1"/>
  <c r="AX491" i="1"/>
  <c r="AW518" i="1"/>
  <c r="AX518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198" i="1"/>
  <c r="AX198" i="1"/>
  <c r="AW74" i="1"/>
  <c r="AX74" i="1"/>
  <c r="AW228" i="1"/>
  <c r="AX228" i="1"/>
  <c r="AX155" i="1"/>
  <c r="AW155" i="1"/>
  <c r="AX105" i="1"/>
  <c r="AW105" i="1"/>
  <c r="AX158" i="1"/>
  <c r="AW158" i="1"/>
  <c r="AW148" i="1"/>
  <c r="AX148" i="1"/>
  <c r="AW431" i="1"/>
  <c r="AX431" i="1"/>
  <c r="AW17" i="1"/>
  <c r="AX17" i="1"/>
  <c r="A547" i="1"/>
  <c r="AL547" i="1" l="1"/>
  <c r="B4" i="11"/>
  <c r="B3" i="6"/>
  <c r="B4" i="6" s="1"/>
  <c r="B5" i="11"/>
  <c r="A548" i="1"/>
  <c r="AL548" i="1" l="1"/>
  <c r="C5" i="11"/>
  <c r="C3" i="6"/>
  <c r="C4" i="6"/>
  <c r="C4" i="11"/>
  <c r="A549" i="1"/>
  <c r="AL549" i="1" l="1"/>
  <c r="A3" i="6"/>
  <c r="A4" i="11"/>
  <c r="A5" i="11"/>
  <c r="A4" i="6"/>
  <c r="A550" i="1"/>
  <c r="AL550" i="1" l="1"/>
  <c r="J5" i="11"/>
  <c r="A551" i="1"/>
  <c r="AL551" i="1" l="1"/>
  <c r="I5" i="11"/>
  <c r="K5" i="11" s="1"/>
  <c r="L5" i="11" s="1"/>
  <c r="M5" i="11" s="1"/>
  <c r="J4" i="11"/>
  <c r="A552" i="1"/>
  <c r="AL552" i="1" l="1"/>
  <c r="J3" i="6"/>
  <c r="A553" i="1"/>
  <c r="AL553" i="1" l="1"/>
  <c r="J4" i="6"/>
  <c r="A554" i="1"/>
  <c r="AL554" i="1" l="1"/>
  <c r="B4" i="9"/>
  <c r="A555" i="1"/>
  <c r="AL555" i="1" l="1"/>
  <c r="J4" i="9"/>
  <c r="E4" i="9"/>
  <c r="I4" i="9"/>
  <c r="D4" i="9"/>
  <c r="C4" i="9"/>
  <c r="A556" i="1"/>
  <c r="AL556" i="1" l="1"/>
  <c r="K4" i="9"/>
  <c r="L4" i="9" s="1"/>
  <c r="M4" i="9" s="1"/>
  <c r="A4" i="9"/>
  <c r="A557" i="1"/>
  <c r="AL557" i="1" l="1"/>
  <c r="H4" i="6"/>
  <c r="G4" i="6"/>
  <c r="F4" i="6"/>
  <c r="A558" i="1"/>
  <c r="AL558" i="1" l="1"/>
  <c r="D4" i="6"/>
  <c r="E3" i="6"/>
  <c r="E4" i="6"/>
  <c r="G3" i="6"/>
  <c r="D3" i="6"/>
  <c r="A559" i="1"/>
  <c r="AL559" i="1" l="1"/>
  <c r="H3" i="6"/>
  <c r="F3" i="6"/>
  <c r="A560" i="1"/>
  <c r="AL560" i="1" l="1"/>
  <c r="E5" i="11"/>
  <c r="G5" i="11"/>
  <c r="D5" i="11"/>
  <c r="H5" i="11"/>
  <c r="A561" i="1"/>
  <c r="AL561" i="1" l="1"/>
  <c r="F5" i="11"/>
  <c r="E4" i="11"/>
  <c r="G4" i="11"/>
  <c r="D4" i="11"/>
  <c r="H4" i="11"/>
  <c r="B37" i="4"/>
  <c r="B38" i="4" s="1"/>
  <c r="A562" i="1"/>
  <c r="AL562" i="1" l="1"/>
  <c r="F4" i="11"/>
  <c r="I38" i="4"/>
  <c r="J38" i="4"/>
  <c r="C37" i="4"/>
  <c r="E38" i="4"/>
  <c r="C38" i="4"/>
  <c r="J37" i="4"/>
  <c r="D37" i="4"/>
  <c r="D38" i="4"/>
  <c r="I37" i="4"/>
  <c r="E37" i="4"/>
  <c r="A563" i="1"/>
  <c r="AL563" i="1" l="1"/>
  <c r="K37" i="4"/>
  <c r="L37" i="4" s="1"/>
  <c r="M37" i="4" s="1"/>
  <c r="A37" i="4"/>
  <c r="A38" i="4"/>
  <c r="K38" i="4"/>
  <c r="L38" i="4" s="1"/>
  <c r="M38" i="4" s="1"/>
  <c r="A564" i="1"/>
  <c r="AL564" i="1" l="1"/>
  <c r="G4" i="9"/>
  <c r="F4" i="9"/>
  <c r="H4" i="9"/>
  <c r="A565" i="1"/>
  <c r="AL565" i="1" l="1"/>
  <c r="G37" i="4"/>
  <c r="H37" i="4"/>
  <c r="F37" i="4"/>
  <c r="A566" i="1"/>
  <c r="AL566" i="1" l="1"/>
  <c r="H38" i="4"/>
  <c r="G38" i="4"/>
  <c r="F38" i="4"/>
  <c r="A567" i="1"/>
  <c r="A568" i="1"/>
  <c r="A569" i="1"/>
  <c r="A570" i="1"/>
  <c r="A571" i="1"/>
  <c r="A572" i="1"/>
  <c r="A573" i="1"/>
  <c r="AL573" i="1" l="1"/>
  <c r="AL572" i="1"/>
  <c r="AL571" i="1"/>
  <c r="AL570" i="1"/>
  <c r="AL569" i="1"/>
  <c r="AL568" i="1"/>
  <c r="AL567" i="1"/>
  <c r="I4" i="11"/>
  <c r="I3" i="6"/>
  <c r="A574" i="1"/>
  <c r="AL574" i="1" l="1"/>
  <c r="K3" i="6"/>
  <c r="L3" i="6" s="1"/>
  <c r="M3" i="6" s="1"/>
  <c r="K4" i="11"/>
  <c r="L4" i="11" s="1"/>
  <c r="A575" i="1"/>
  <c r="AL575" i="1" l="1"/>
  <c r="M4" i="11"/>
  <c r="A576" i="1"/>
  <c r="AL576" i="1" l="1"/>
  <c r="I4" i="6"/>
  <c r="A577" i="1"/>
  <c r="AL577" i="1" l="1"/>
  <c r="K4" i="6"/>
  <c r="L4" i="6" s="1"/>
  <c r="M4" i="6" s="1"/>
  <c r="A578" i="1"/>
  <c r="AL578" i="1" l="1"/>
  <c r="AS329" i="1"/>
  <c r="AU329" i="1" s="1"/>
  <c r="AV329" i="1" s="1"/>
  <c r="AS322" i="1"/>
  <c r="AU322" i="1" s="1"/>
  <c r="AV322" i="1" s="1"/>
  <c r="AS156" i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S234" i="1"/>
  <c r="AS198" i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S94" i="1"/>
  <c r="AS165" i="1"/>
  <c r="AS294" i="1"/>
  <c r="AS392" i="1"/>
  <c r="AS326" i="1"/>
  <c r="AU326" i="1" s="1"/>
  <c r="AV326" i="1" s="1"/>
  <c r="AS158" i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579" i="1"/>
  <c r="A580" i="1"/>
  <c r="AL580" i="1" l="1"/>
  <c r="AL579" i="1"/>
  <c r="AU427" i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581" i="1"/>
  <c r="AL581" i="1" l="1"/>
  <c r="AX427" i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72" i="2"/>
  <c r="A73" i="2"/>
  <c r="A74" i="2"/>
  <c r="A75" i="2"/>
  <c r="A78" i="2" s="1"/>
  <c r="A582" i="1"/>
  <c r="AL582" i="1" l="1"/>
  <c r="G78" i="2"/>
  <c r="R78" i="2"/>
  <c r="R74" i="2"/>
  <c r="R73" i="2"/>
  <c r="R72" i="2"/>
  <c r="G72" i="2"/>
  <c r="C78" i="2"/>
  <c r="H78" i="2"/>
  <c r="I78" i="2"/>
  <c r="B73" i="2"/>
  <c r="I72" i="2"/>
  <c r="F72" i="2"/>
  <c r="B78" i="2"/>
  <c r="F78" i="2"/>
  <c r="B74" i="2"/>
  <c r="B72" i="2"/>
  <c r="C72" i="2"/>
  <c r="H72" i="2"/>
  <c r="B75" i="2"/>
  <c r="A583" i="1"/>
  <c r="J72" i="2"/>
  <c r="J78" i="2"/>
  <c r="A584" i="1"/>
  <c r="AL584" i="1" l="1"/>
  <c r="AL583" i="1"/>
  <c r="E72" i="2"/>
  <c r="L72" i="2"/>
  <c r="K72" i="2"/>
  <c r="E74" i="2"/>
  <c r="L74" i="2"/>
  <c r="K74" i="2"/>
  <c r="E78" i="2"/>
  <c r="L78" i="2"/>
  <c r="K78" i="2"/>
  <c r="E73" i="2"/>
  <c r="L73" i="2"/>
  <c r="K73" i="2"/>
  <c r="K75" i="2"/>
  <c r="E75" i="2"/>
  <c r="L75" i="2"/>
  <c r="R75" i="2"/>
  <c r="N72" i="2"/>
  <c r="N78" i="2"/>
  <c r="N73" i="2"/>
  <c r="N75" i="2"/>
  <c r="N74" i="2"/>
  <c r="A585" i="1"/>
  <c r="A586" i="1"/>
  <c r="A587" i="1"/>
  <c r="A588" i="1"/>
  <c r="AL588" i="1" l="1"/>
  <c r="AL587" i="1"/>
  <c r="AL586" i="1"/>
  <c r="AL585" i="1"/>
  <c r="M74" i="2"/>
  <c r="O74" i="2" s="1"/>
  <c r="P74" i="2" s="1"/>
  <c r="Q74" i="2" s="1"/>
  <c r="M73" i="2"/>
  <c r="O73" i="2" s="1"/>
  <c r="P73" i="2" s="1"/>
  <c r="Q73" i="2" s="1"/>
  <c r="M78" i="2"/>
  <c r="O78" i="2" s="1"/>
  <c r="P78" i="2" s="1"/>
  <c r="Q78" i="2" s="1"/>
  <c r="M72" i="2"/>
  <c r="O72" i="2" s="1"/>
  <c r="P72" i="2" s="1"/>
  <c r="Q72" i="2" s="1"/>
  <c r="M75" i="2"/>
  <c r="O75" i="2" s="1"/>
  <c r="P75" i="2" s="1"/>
  <c r="Q75" i="2" s="1"/>
  <c r="G75" i="2"/>
  <c r="C75" i="2"/>
  <c r="F75" i="2"/>
  <c r="I75" i="2"/>
  <c r="H75" i="2"/>
  <c r="H73" i="2"/>
  <c r="A589" i="1"/>
  <c r="J75" i="2"/>
  <c r="J73" i="2"/>
  <c r="A590" i="1"/>
  <c r="A591" i="1"/>
  <c r="AL591" i="1" l="1"/>
  <c r="AL590" i="1"/>
  <c r="AL589" i="1"/>
  <c r="G73" i="2"/>
  <c r="C73" i="2"/>
  <c r="I73" i="2"/>
  <c r="F73" i="2"/>
  <c r="H74" i="2"/>
  <c r="A592" i="1"/>
  <c r="J74" i="2"/>
  <c r="A593" i="1"/>
  <c r="AL593" i="1" l="1"/>
  <c r="AL592" i="1"/>
  <c r="G74" i="2"/>
  <c r="F74" i="2"/>
  <c r="C74" i="2"/>
  <c r="I74" i="2"/>
  <c r="A594" i="1"/>
  <c r="A595" i="1"/>
  <c r="AL595" i="1" l="1"/>
  <c r="AL594" i="1"/>
  <c r="B6" i="8"/>
  <c r="H6" i="8" s="1"/>
  <c r="B4" i="7"/>
  <c r="G4" i="7" s="1"/>
  <c r="B31" i="5"/>
  <c r="E31" i="5" s="1"/>
  <c r="B32" i="5"/>
  <c r="H32" i="5" s="1"/>
  <c r="B33" i="5"/>
  <c r="H33" i="5" s="1"/>
  <c r="B34" i="5"/>
  <c r="G34" i="5" s="1"/>
  <c r="B35" i="5"/>
  <c r="G35" i="5" s="1"/>
  <c r="B36" i="5"/>
  <c r="F36" i="5" s="1"/>
  <c r="B37" i="5"/>
  <c r="E37" i="5" s="1"/>
  <c r="B33" i="4"/>
  <c r="H33" i="4" s="1"/>
  <c r="B34" i="4"/>
  <c r="G34" i="4" s="1"/>
  <c r="B35" i="4"/>
  <c r="C35" i="4" s="1"/>
  <c r="B36" i="4"/>
  <c r="H36" i="4" s="1"/>
  <c r="B6" i="14"/>
  <c r="A596" i="1"/>
  <c r="A597" i="1"/>
  <c r="AL597" i="1" l="1"/>
  <c r="AL596" i="1"/>
  <c r="C32" i="5"/>
  <c r="H35" i="5"/>
  <c r="F33" i="5"/>
  <c r="F37" i="5"/>
  <c r="J36" i="4"/>
  <c r="D35" i="5"/>
  <c r="H34" i="5"/>
  <c r="G32" i="5"/>
  <c r="I36" i="4"/>
  <c r="K36" i="4" s="1"/>
  <c r="L36" i="4" s="1"/>
  <c r="M36" i="4" s="1"/>
  <c r="D35" i="4"/>
  <c r="F34" i="4"/>
  <c r="D34" i="4"/>
  <c r="C35" i="5"/>
  <c r="F34" i="5"/>
  <c r="F35" i="4"/>
  <c r="I34" i="4"/>
  <c r="E34" i="4"/>
  <c r="E33" i="4"/>
  <c r="F33" i="4"/>
  <c r="C37" i="5"/>
  <c r="A37" i="5" s="1"/>
  <c r="H36" i="5"/>
  <c r="E4" i="7"/>
  <c r="I6" i="8"/>
  <c r="F36" i="4"/>
  <c r="G36" i="4"/>
  <c r="H37" i="5"/>
  <c r="G36" i="5"/>
  <c r="C36" i="5"/>
  <c r="A36" i="5" s="1"/>
  <c r="E32" i="5"/>
  <c r="F31" i="5"/>
  <c r="C4" i="7"/>
  <c r="F4" i="7"/>
  <c r="D6" i="8"/>
  <c r="H35" i="4"/>
  <c r="J35" i="4"/>
  <c r="C33" i="4"/>
  <c r="A33" i="4" s="1"/>
  <c r="G33" i="4"/>
  <c r="D34" i="5"/>
  <c r="E33" i="5"/>
  <c r="D4" i="7"/>
  <c r="H4" i="7"/>
  <c r="E6" i="8"/>
  <c r="C6" i="8"/>
  <c r="A6" i="8" s="1"/>
  <c r="J6" i="8"/>
  <c r="E35" i="4"/>
  <c r="G35" i="4"/>
  <c r="I35" i="4"/>
  <c r="J33" i="4"/>
  <c r="I33" i="4"/>
  <c r="D33" i="4"/>
  <c r="G33" i="5"/>
  <c r="F32" i="5"/>
  <c r="D32" i="5"/>
  <c r="D31" i="5"/>
  <c r="C31" i="5"/>
  <c r="A31" i="5" s="1"/>
  <c r="H31" i="5"/>
  <c r="C36" i="4"/>
  <c r="A36" i="4" s="1"/>
  <c r="E36" i="4"/>
  <c r="D36" i="4"/>
  <c r="C34" i="4"/>
  <c r="J34" i="4"/>
  <c r="H34" i="4"/>
  <c r="D37" i="5"/>
  <c r="G37" i="5"/>
  <c r="E36" i="5"/>
  <c r="D36" i="5"/>
  <c r="F35" i="5"/>
  <c r="E35" i="5"/>
  <c r="C34" i="5"/>
  <c r="A34" i="5" s="1"/>
  <c r="E34" i="5"/>
  <c r="D33" i="5"/>
  <c r="C33" i="5"/>
  <c r="A33" i="5" s="1"/>
  <c r="G31" i="5"/>
  <c r="G6" i="8"/>
  <c r="F6" i="8"/>
  <c r="J6" i="14"/>
  <c r="I6" i="14"/>
  <c r="K35" i="4"/>
  <c r="L35" i="4" s="1"/>
  <c r="M35" i="4" s="1"/>
  <c r="A35" i="4"/>
  <c r="A34" i="4"/>
  <c r="J37" i="5"/>
  <c r="I37" i="5"/>
  <c r="A35" i="5"/>
  <c r="J36" i="5"/>
  <c r="I36" i="5"/>
  <c r="J35" i="5"/>
  <c r="I35" i="5"/>
  <c r="J34" i="5"/>
  <c r="I34" i="5"/>
  <c r="A32" i="5"/>
  <c r="J33" i="5"/>
  <c r="I33" i="5"/>
  <c r="J32" i="5"/>
  <c r="I32" i="5"/>
  <c r="I31" i="5"/>
  <c r="J31" i="5"/>
  <c r="A4" i="7"/>
  <c r="J4" i="7"/>
  <c r="I4" i="7"/>
  <c r="H6" i="14"/>
  <c r="E6" i="14"/>
  <c r="D6" i="14"/>
  <c r="C6" i="14"/>
  <c r="F6" i="14"/>
  <c r="G6" i="14"/>
  <c r="A598" i="1"/>
  <c r="A599" i="1"/>
  <c r="A600" i="1"/>
  <c r="A601" i="1"/>
  <c r="AL601" i="1" l="1"/>
  <c r="AL600" i="1"/>
  <c r="AL599" i="1"/>
  <c r="AL598" i="1"/>
  <c r="K34" i="4"/>
  <c r="L34" i="4" s="1"/>
  <c r="M34" i="4" s="1"/>
  <c r="K33" i="4"/>
  <c r="L33" i="4" s="1"/>
  <c r="M33" i="4" s="1"/>
  <c r="K6" i="8"/>
  <c r="K34" i="5"/>
  <c r="L34" i="5" s="1"/>
  <c r="M34" i="5" s="1"/>
  <c r="A6" i="14"/>
  <c r="K35" i="5"/>
  <c r="L35" i="5" s="1"/>
  <c r="M35" i="5" s="1"/>
  <c r="K36" i="5"/>
  <c r="L36" i="5" s="1"/>
  <c r="M36" i="5" s="1"/>
  <c r="K37" i="5"/>
  <c r="L37" i="5" s="1"/>
  <c r="M37" i="5" s="1"/>
  <c r="K6" i="14"/>
  <c r="K4" i="7"/>
  <c r="L4" i="7" s="1"/>
  <c r="M4" i="7" s="1"/>
  <c r="L6" i="8"/>
  <c r="M6" i="8" s="1"/>
  <c r="K31" i="5"/>
  <c r="K32" i="5"/>
  <c r="L32" i="5" s="1"/>
  <c r="M32" i="5" s="1"/>
  <c r="K33" i="5"/>
  <c r="L33" i="5" s="1"/>
  <c r="M33" i="5" s="1"/>
  <c r="A602" i="1"/>
  <c r="A603" i="1"/>
  <c r="AL603" i="1" l="1"/>
  <c r="AL602" i="1"/>
  <c r="L6" i="14"/>
  <c r="L31" i="5"/>
  <c r="A604" i="1"/>
  <c r="A605" i="1"/>
  <c r="AL605" i="1" l="1"/>
  <c r="AL604" i="1"/>
  <c r="M6" i="14"/>
  <c r="M31" i="5"/>
  <c r="A606" i="1"/>
  <c r="A607" i="1"/>
  <c r="AL607" i="1" l="1"/>
  <c r="AL606" i="1"/>
  <c r="A77" i="2"/>
  <c r="A71" i="2"/>
  <c r="F77" i="2"/>
  <c r="F71" i="2"/>
  <c r="A70" i="2"/>
  <c r="F70" i="2" s="1"/>
  <c r="A90" i="2"/>
  <c r="F90" i="2" s="1"/>
  <c r="A84" i="2"/>
  <c r="F84" i="2" s="1"/>
  <c r="A82" i="2"/>
  <c r="F82" i="2" s="1"/>
  <c r="A81" i="2"/>
  <c r="F81" i="2" s="1"/>
  <c r="A80" i="2"/>
  <c r="F80" i="2" s="1"/>
  <c r="A76" i="2"/>
  <c r="F76" i="2" s="1"/>
  <c r="A79" i="2"/>
  <c r="F79" i="2" s="1"/>
  <c r="A86" i="2"/>
  <c r="F86" i="2" s="1"/>
  <c r="A83" i="2"/>
  <c r="F83" i="2" s="1"/>
  <c r="A85" i="2"/>
  <c r="F85" i="2" s="1"/>
  <c r="A93" i="2"/>
  <c r="F93" i="2" s="1"/>
  <c r="A87" i="2"/>
  <c r="F87" i="2" s="1"/>
  <c r="A89" i="2"/>
  <c r="F89" i="2" s="1"/>
  <c r="A88" i="2"/>
  <c r="F88" i="2" s="1"/>
  <c r="A91" i="2"/>
  <c r="F91" i="2" s="1"/>
  <c r="A92" i="2"/>
  <c r="F92" i="2" s="1"/>
  <c r="A608" i="1"/>
  <c r="A2" i="2"/>
  <c r="A609" i="1"/>
  <c r="AL609" i="1" l="1"/>
  <c r="AL608" i="1"/>
  <c r="B89" i="2"/>
  <c r="A610" i="1"/>
  <c r="B2" i="2"/>
  <c r="F2" i="2"/>
  <c r="A611" i="1"/>
  <c r="B3" i="4"/>
  <c r="AL611" i="1" l="1"/>
  <c r="L2" i="2"/>
  <c r="K2" i="2"/>
  <c r="AL610" i="1"/>
  <c r="K89" i="2"/>
  <c r="E89" i="2"/>
  <c r="L89" i="2"/>
  <c r="N89" i="2"/>
  <c r="B91" i="2"/>
  <c r="D3" i="4"/>
  <c r="J3" i="4"/>
  <c r="A612" i="1"/>
  <c r="C3" i="4"/>
  <c r="I3" i="4"/>
  <c r="A613" i="1"/>
  <c r="AL613" i="1" l="1"/>
  <c r="K3" i="4"/>
  <c r="L3" i="4" s="1"/>
  <c r="M3" i="4" s="1"/>
  <c r="A3" i="4"/>
  <c r="AL612" i="1"/>
  <c r="K91" i="2"/>
  <c r="E91" i="2"/>
  <c r="L91" i="2"/>
  <c r="M89" i="2"/>
  <c r="N91" i="2"/>
  <c r="A614" i="1"/>
  <c r="A615" i="1"/>
  <c r="A616" i="1"/>
  <c r="A617" i="1"/>
  <c r="AL617" i="1" l="1"/>
  <c r="AL616" i="1"/>
  <c r="AL615" i="1"/>
  <c r="AL614" i="1"/>
  <c r="M91" i="2"/>
  <c r="B92" i="2"/>
  <c r="A618" i="1"/>
  <c r="A619" i="1"/>
  <c r="A620" i="1"/>
  <c r="A621" i="1"/>
  <c r="AL621" i="1" l="1"/>
  <c r="AL620" i="1"/>
  <c r="AL619" i="1"/>
  <c r="AL618" i="1"/>
  <c r="K92" i="2"/>
  <c r="L92" i="2"/>
  <c r="E92" i="2"/>
  <c r="B71" i="2"/>
  <c r="B87" i="2"/>
  <c r="B81" i="2"/>
  <c r="B76" i="2"/>
  <c r="B77" i="2"/>
  <c r="B88" i="2"/>
  <c r="N92" i="2"/>
  <c r="A622" i="1"/>
  <c r="A623" i="1"/>
  <c r="A624" i="1"/>
  <c r="A625" i="1"/>
  <c r="AL625" i="1" l="1"/>
  <c r="AL624" i="1"/>
  <c r="AL623" i="1"/>
  <c r="AL622" i="1"/>
  <c r="M92" i="2"/>
  <c r="K88" i="2"/>
  <c r="E88" i="2"/>
  <c r="L88" i="2"/>
  <c r="K77" i="2"/>
  <c r="E77" i="2"/>
  <c r="L77" i="2"/>
  <c r="K76" i="2"/>
  <c r="E76" i="2"/>
  <c r="L76" i="2"/>
  <c r="L81" i="2"/>
  <c r="K81" i="2"/>
  <c r="E81" i="2"/>
  <c r="L87" i="2"/>
  <c r="K87" i="2"/>
  <c r="E87" i="2"/>
  <c r="L71" i="2"/>
  <c r="K71" i="2"/>
  <c r="E71" i="2"/>
  <c r="N77" i="2"/>
  <c r="N88" i="2"/>
  <c r="N76" i="2"/>
  <c r="N81" i="2"/>
  <c r="N71" i="2"/>
  <c r="B85" i="2"/>
  <c r="N87" i="2"/>
  <c r="B84" i="2"/>
  <c r="A626" i="1"/>
  <c r="A627" i="1"/>
  <c r="A628" i="1"/>
  <c r="AL628" i="1" l="1"/>
  <c r="AL627" i="1"/>
  <c r="AL626" i="1"/>
  <c r="M71" i="2"/>
  <c r="M81" i="2"/>
  <c r="K84" i="2"/>
  <c r="E84" i="2"/>
  <c r="L84" i="2"/>
  <c r="L85" i="2"/>
  <c r="K85" i="2"/>
  <c r="E85" i="2"/>
  <c r="M87" i="2"/>
  <c r="M77" i="2"/>
  <c r="M76" i="2"/>
  <c r="M88" i="2"/>
  <c r="B93" i="2"/>
  <c r="B86" i="2"/>
  <c r="N84" i="2"/>
  <c r="B90" i="2"/>
  <c r="N85" i="2"/>
  <c r="A629" i="1"/>
  <c r="AL629" i="1" l="1"/>
  <c r="K90" i="2"/>
  <c r="M90" i="2" s="1"/>
  <c r="L90" i="2"/>
  <c r="E90" i="2"/>
  <c r="K86" i="2"/>
  <c r="E86" i="2"/>
  <c r="L86" i="2"/>
  <c r="K93" i="2"/>
  <c r="E93" i="2"/>
  <c r="L93" i="2"/>
  <c r="M85" i="2"/>
  <c r="M84" i="2"/>
  <c r="N93" i="2"/>
  <c r="B80" i="2"/>
  <c r="B83" i="2"/>
  <c r="C71" i="2"/>
  <c r="C90" i="2"/>
  <c r="C82" i="2"/>
  <c r="C80" i="2"/>
  <c r="C79" i="2"/>
  <c r="C83" i="2"/>
  <c r="C87" i="2"/>
  <c r="C88" i="2"/>
  <c r="C91" i="2"/>
  <c r="B82" i="2"/>
  <c r="C77" i="2"/>
  <c r="C70" i="2"/>
  <c r="C84" i="2"/>
  <c r="C76" i="2"/>
  <c r="C85" i="2"/>
  <c r="C89" i="2"/>
  <c r="N90" i="2"/>
  <c r="N86" i="2"/>
  <c r="B70" i="2"/>
  <c r="B79" i="2"/>
  <c r="C81" i="2"/>
  <c r="C86" i="2"/>
  <c r="C93" i="2"/>
  <c r="C92" i="2"/>
  <c r="A630" i="1"/>
  <c r="C2" i="2"/>
  <c r="AL630" i="1" l="1"/>
  <c r="N3" i="4"/>
  <c r="D78" i="2"/>
  <c r="D75" i="2"/>
  <c r="D73" i="2"/>
  <c r="D72" i="2"/>
  <c r="D74" i="2"/>
  <c r="L70" i="2"/>
  <c r="E70" i="2"/>
  <c r="K70" i="2"/>
  <c r="M70" i="2" s="1"/>
  <c r="L83" i="2"/>
  <c r="K83" i="2"/>
  <c r="E83" i="2"/>
  <c r="L80" i="2"/>
  <c r="K80" i="2"/>
  <c r="E80" i="2"/>
  <c r="M93" i="2"/>
  <c r="M86" i="2"/>
  <c r="N70" i="2"/>
  <c r="N83" i="2"/>
  <c r="N80" i="2"/>
  <c r="A631" i="1"/>
  <c r="AL631" i="1" l="1"/>
  <c r="M83" i="2"/>
  <c r="M80" i="2"/>
  <c r="K79" i="2"/>
  <c r="L79" i="2"/>
  <c r="E79" i="2"/>
  <c r="K82" i="2"/>
  <c r="L82" i="2"/>
  <c r="E82" i="2"/>
  <c r="G93" i="2"/>
  <c r="G92" i="2"/>
  <c r="G2" i="2"/>
  <c r="G91" i="2"/>
  <c r="G89" i="2"/>
  <c r="G87" i="2"/>
  <c r="G88" i="2"/>
  <c r="G85" i="2"/>
  <c r="G79" i="2"/>
  <c r="G80" i="2"/>
  <c r="G82" i="2"/>
  <c r="G90" i="2"/>
  <c r="G71" i="2"/>
  <c r="G83" i="2"/>
  <c r="G86" i="2"/>
  <c r="G76" i="2"/>
  <c r="G81" i="2"/>
  <c r="G84" i="2"/>
  <c r="G70" i="2"/>
  <c r="G77" i="2"/>
  <c r="O83" i="2"/>
  <c r="R83" i="2"/>
  <c r="D83" i="2"/>
  <c r="O80" i="2"/>
  <c r="R80" i="2"/>
  <c r="R82" i="2"/>
  <c r="O84" i="2"/>
  <c r="O91" i="2"/>
  <c r="R91" i="2"/>
  <c r="O85" i="2"/>
  <c r="R85" i="2"/>
  <c r="O87" i="2"/>
  <c r="R87" i="2"/>
  <c r="O76" i="2"/>
  <c r="R76" i="2"/>
  <c r="O86" i="2"/>
  <c r="R86" i="2"/>
  <c r="O89" i="2"/>
  <c r="R89" i="2"/>
  <c r="O81" i="2"/>
  <c r="R81" i="2"/>
  <c r="O92" i="2"/>
  <c r="R92" i="2"/>
  <c r="O88" i="2"/>
  <c r="R88" i="2"/>
  <c r="O93" i="2"/>
  <c r="R93" i="2"/>
  <c r="D93" i="2"/>
  <c r="D87" i="2"/>
  <c r="D85" i="2"/>
  <c r="D92" i="2"/>
  <c r="D84" i="2"/>
  <c r="D80" i="2"/>
  <c r="D89" i="2"/>
  <c r="D86" i="2"/>
  <c r="D88" i="2"/>
  <c r="D79" i="2"/>
  <c r="D91" i="2"/>
  <c r="D76" i="2"/>
  <c r="D81" i="2"/>
  <c r="D82" i="2"/>
  <c r="O71" i="2"/>
  <c r="R71" i="2"/>
  <c r="M2" i="2"/>
  <c r="E2" i="2"/>
  <c r="R2" i="2"/>
  <c r="O77" i="2"/>
  <c r="R77" i="2"/>
  <c r="O70" i="2"/>
  <c r="R70" i="2"/>
  <c r="O90" i="2"/>
  <c r="R90" i="2"/>
  <c r="R79" i="2"/>
  <c r="R84" i="2"/>
  <c r="D71" i="2"/>
  <c r="D90" i="2"/>
  <c r="D77" i="2"/>
  <c r="D70" i="2"/>
  <c r="N79" i="2"/>
  <c r="N82" i="2"/>
  <c r="I93" i="2"/>
  <c r="H93" i="2"/>
  <c r="I92" i="2"/>
  <c r="H92" i="2"/>
  <c r="H85" i="2"/>
  <c r="H80" i="2"/>
  <c r="H90" i="2"/>
  <c r="I90" i="2"/>
  <c r="I86" i="2"/>
  <c r="H86" i="2"/>
  <c r="H76" i="2"/>
  <c r="I76" i="2"/>
  <c r="H81" i="2"/>
  <c r="I77" i="2"/>
  <c r="H91" i="2"/>
  <c r="I91" i="2"/>
  <c r="H89" i="2"/>
  <c r="I89" i="2"/>
  <c r="I87" i="2"/>
  <c r="H87" i="2"/>
  <c r="H88" i="2"/>
  <c r="I88" i="2"/>
  <c r="I85" i="2"/>
  <c r="I79" i="2"/>
  <c r="H79" i="2"/>
  <c r="I80" i="2"/>
  <c r="I82" i="2"/>
  <c r="H82" i="2"/>
  <c r="I71" i="2"/>
  <c r="H71" i="2"/>
  <c r="I83" i="2"/>
  <c r="H83" i="2"/>
  <c r="I81" i="2"/>
  <c r="I84" i="2"/>
  <c r="H84" i="2"/>
  <c r="H70" i="2"/>
  <c r="I70" i="2"/>
  <c r="H77" i="2"/>
  <c r="A632" i="1"/>
  <c r="E3" i="4"/>
  <c r="I2" i="2"/>
  <c r="J87" i="2"/>
  <c r="J90" i="2"/>
  <c r="J86" i="2"/>
  <c r="J77" i="2"/>
  <c r="J93" i="2"/>
  <c r="H2" i="2"/>
  <c r="J79" i="2"/>
  <c r="J80" i="2"/>
  <c r="J76" i="2"/>
  <c r="F3" i="4"/>
  <c r="J2" i="2"/>
  <c r="J88" i="2"/>
  <c r="J81" i="2"/>
  <c r="N2" i="2"/>
  <c r="J92" i="2"/>
  <c r="J91" i="2"/>
  <c r="J89" i="2"/>
  <c r="J85" i="2"/>
  <c r="J82" i="2"/>
  <c r="J71" i="2"/>
  <c r="J84" i="2"/>
  <c r="J70" i="2"/>
  <c r="G3" i="4"/>
  <c r="J83" i="2"/>
  <c r="A633" i="1"/>
  <c r="A634" i="1"/>
  <c r="P80" i="2" l="1"/>
  <c r="AL634" i="1"/>
  <c r="AL633" i="1"/>
  <c r="AL632" i="1"/>
  <c r="P93" i="2"/>
  <c r="Q93" i="2" s="1"/>
  <c r="P88" i="2"/>
  <c r="Q88" i="2" s="1"/>
  <c r="P77" i="2"/>
  <c r="Q77" i="2" s="1"/>
  <c r="P85" i="2"/>
  <c r="M79" i="2"/>
  <c r="O79" i="2" s="1"/>
  <c r="P76" i="2"/>
  <c r="Q76" i="2" s="1"/>
  <c r="P87" i="2"/>
  <c r="Q87" i="2" s="1"/>
  <c r="P91" i="2"/>
  <c r="Q91" i="2" s="1"/>
  <c r="M82" i="2"/>
  <c r="O82" i="2" s="1"/>
  <c r="P71" i="2"/>
  <c r="Q71" i="2" s="1"/>
  <c r="P83" i="2"/>
  <c r="Q83" i="2" s="1"/>
  <c r="Q85" i="2"/>
  <c r="Q80" i="2"/>
  <c r="P84" i="2"/>
  <c r="Q84" i="2" s="1"/>
  <c r="P90" i="2"/>
  <c r="Q90" i="2" s="1"/>
  <c r="P70" i="2"/>
  <c r="Q70" i="2" s="1"/>
  <c r="P92" i="2"/>
  <c r="Q92" i="2" s="1"/>
  <c r="P81" i="2"/>
  <c r="Q81" i="2" s="1"/>
  <c r="P89" i="2"/>
  <c r="Q89" i="2" s="1"/>
  <c r="P86" i="2"/>
  <c r="Q86" i="2" s="1"/>
  <c r="O2" i="2"/>
  <c r="A635" i="1"/>
  <c r="H3" i="4"/>
  <c r="A636" i="1"/>
  <c r="A637" i="1"/>
  <c r="AL637" i="1" l="1"/>
  <c r="AL636" i="1"/>
  <c r="AL635" i="1"/>
  <c r="P2" i="2"/>
  <c r="Q2" i="2" s="1"/>
  <c r="P82" i="2"/>
  <c r="Q82" i="2" s="1"/>
  <c r="P79" i="2"/>
  <c r="Q79" i="2" s="1"/>
  <c r="A638" i="1"/>
  <c r="AL638" i="1" l="1"/>
  <c r="A639" i="1"/>
  <c r="AL639" i="1" l="1"/>
  <c r="A640" i="1"/>
  <c r="A641" i="1"/>
  <c r="AL641" i="1" l="1"/>
  <c r="AL640" i="1"/>
  <c r="A642" i="1"/>
  <c r="AL642" i="1" l="1"/>
  <c r="A643" i="1"/>
  <c r="A644" i="1"/>
  <c r="A645" i="1"/>
  <c r="AL645" i="1" l="1"/>
  <c r="AL644" i="1"/>
  <c r="AL643" i="1"/>
  <c r="A646" i="1"/>
  <c r="A647" i="1"/>
  <c r="A648" i="1"/>
  <c r="AL648" i="1" l="1"/>
  <c r="AL647" i="1"/>
  <c r="AL646" i="1"/>
  <c r="A649" i="1"/>
  <c r="A650" i="1"/>
  <c r="AL650" i="1" l="1"/>
  <c r="AL649" i="1"/>
  <c r="A651" i="1"/>
  <c r="A652" i="1"/>
  <c r="AL652" i="1" l="1"/>
  <c r="AL651" i="1"/>
  <c r="A653" i="1"/>
  <c r="A654" i="1"/>
  <c r="A655" i="1"/>
  <c r="AL655" i="1" l="1"/>
  <c r="AL654" i="1"/>
  <c r="AL653" i="1"/>
  <c r="A656" i="1"/>
  <c r="A657" i="1"/>
  <c r="AL657" i="1" l="1"/>
  <c r="AL656" i="1"/>
  <c r="A658" i="1"/>
  <c r="A659" i="1"/>
  <c r="A660" i="1"/>
  <c r="A661" i="1"/>
  <c r="AL661" i="1" l="1"/>
  <c r="AL660" i="1"/>
  <c r="AL659" i="1"/>
  <c r="AL658" i="1"/>
  <c r="A662" i="1"/>
  <c r="A663" i="1"/>
  <c r="AL663" i="1" l="1"/>
  <c r="AL662" i="1"/>
  <c r="A664" i="1"/>
  <c r="A665" i="1"/>
  <c r="AL665" i="1" l="1"/>
  <c r="AL664" i="1"/>
  <c r="A666" i="1"/>
  <c r="A667" i="1"/>
  <c r="AL667" i="1" l="1"/>
  <c r="AL666" i="1"/>
  <c r="A668" i="1"/>
  <c r="A669" i="1"/>
  <c r="AL669" i="1" l="1"/>
  <c r="AL668" i="1"/>
  <c r="A670" i="1"/>
  <c r="A671" i="1"/>
  <c r="AL671" i="1" l="1"/>
  <c r="AL670" i="1"/>
  <c r="A672" i="1"/>
  <c r="A673" i="1"/>
  <c r="A674" i="1"/>
  <c r="AL674" i="1" l="1"/>
  <c r="AL673" i="1"/>
  <c r="AL672" i="1"/>
  <c r="A675" i="1"/>
  <c r="A676" i="1"/>
  <c r="AL676" i="1" l="1"/>
  <c r="AL675" i="1"/>
  <c r="A677" i="1"/>
  <c r="A678" i="1"/>
  <c r="AL678" i="1" l="1"/>
  <c r="AL677" i="1"/>
  <c r="A679" i="1"/>
  <c r="A680" i="1"/>
  <c r="AL680" i="1" l="1"/>
  <c r="AL679" i="1"/>
  <c r="A681" i="1"/>
  <c r="A682" i="1"/>
  <c r="A683" i="1"/>
  <c r="AL683" i="1" l="1"/>
  <c r="AL682" i="1"/>
  <c r="AL681" i="1"/>
  <c r="A684" i="1"/>
  <c r="A685" i="1"/>
  <c r="AL685" i="1" l="1"/>
  <c r="AL684" i="1"/>
  <c r="A686" i="1"/>
  <c r="A687" i="1"/>
  <c r="AL687" i="1" l="1"/>
  <c r="AL686" i="1"/>
  <c r="A688" i="1"/>
  <c r="A689" i="1"/>
  <c r="AL689" i="1" l="1"/>
  <c r="AL688" i="1"/>
  <c r="A690" i="1"/>
  <c r="A691" i="1"/>
  <c r="A692" i="1"/>
  <c r="A693" i="1"/>
  <c r="AL693" i="1" l="1"/>
  <c r="AL692" i="1"/>
  <c r="AL691" i="1"/>
  <c r="AL690" i="1"/>
  <c r="A694" i="1"/>
  <c r="A695" i="1"/>
  <c r="A696" i="1"/>
  <c r="AL696" i="1" l="1"/>
  <c r="AL695" i="1"/>
  <c r="AL694" i="1"/>
  <c r="A697" i="1"/>
  <c r="A698" i="1"/>
  <c r="A699" i="1"/>
  <c r="A700" i="1"/>
  <c r="A701" i="1"/>
  <c r="AL701" i="1" l="1"/>
  <c r="AL700" i="1"/>
  <c r="AL699" i="1"/>
  <c r="AL698" i="1"/>
  <c r="AL697" i="1"/>
  <c r="A702" i="1"/>
  <c r="A703" i="1"/>
  <c r="A704" i="1"/>
  <c r="A705" i="1"/>
  <c r="A706" i="1"/>
  <c r="AL706" i="1" l="1"/>
  <c r="AL705" i="1"/>
  <c r="AL704" i="1"/>
  <c r="AL703" i="1"/>
  <c r="AL702" i="1"/>
  <c r="A707" i="1"/>
  <c r="A708" i="1"/>
  <c r="A709" i="1"/>
  <c r="AL709" i="1" l="1"/>
  <c r="AL708" i="1"/>
  <c r="AL707" i="1"/>
  <c r="A710" i="1"/>
  <c r="A711" i="1"/>
  <c r="A712" i="1"/>
  <c r="A713" i="1"/>
  <c r="A714" i="1"/>
  <c r="AL714" i="1" l="1"/>
  <c r="AL713" i="1"/>
  <c r="AL712" i="1"/>
  <c r="AL711" i="1"/>
  <c r="AL710" i="1"/>
  <c r="A715" i="1"/>
  <c r="AL715" i="1" l="1"/>
  <c r="A716" i="1"/>
  <c r="A717" i="1"/>
  <c r="A718" i="1"/>
  <c r="A719" i="1"/>
  <c r="AL719" i="1" l="1"/>
  <c r="AL718" i="1"/>
  <c r="AL717" i="1"/>
  <c r="AL716" i="1"/>
  <c r="A720" i="1"/>
  <c r="A721" i="1"/>
  <c r="A722" i="1"/>
  <c r="A723" i="1"/>
  <c r="AL723" i="1" l="1"/>
  <c r="AL722" i="1"/>
  <c r="AL721" i="1"/>
  <c r="AL720" i="1"/>
  <c r="A724" i="1"/>
  <c r="A725" i="1"/>
  <c r="AL725" i="1" l="1"/>
  <c r="AL724" i="1"/>
  <c r="A726" i="1"/>
  <c r="A727" i="1"/>
  <c r="AL727" i="1" l="1"/>
  <c r="AL726" i="1"/>
  <c r="A728" i="1"/>
  <c r="A729" i="1"/>
  <c r="AL729" i="1" l="1"/>
  <c r="AL728" i="1"/>
  <c r="A730" i="1"/>
  <c r="A731" i="1"/>
  <c r="AL731" i="1" l="1"/>
  <c r="AL730" i="1"/>
  <c r="A732" i="1"/>
  <c r="A733" i="1"/>
  <c r="AL733" i="1" l="1"/>
  <c r="AL732" i="1"/>
  <c r="A734" i="1"/>
  <c r="AL734" i="1" l="1"/>
  <c r="A735" i="1"/>
  <c r="AL735" i="1" l="1"/>
  <c r="A736" i="1"/>
  <c r="A737" i="1"/>
  <c r="AL737" i="1" l="1"/>
  <c r="AL736" i="1"/>
  <c r="A738" i="1"/>
  <c r="AL738" i="1" l="1"/>
  <c r="A739" i="1"/>
  <c r="A740" i="1"/>
  <c r="AL740" i="1" l="1"/>
  <c r="AL739" i="1"/>
  <c r="A741" i="1"/>
  <c r="A742" i="1"/>
  <c r="A743" i="1"/>
  <c r="AL743" i="1" l="1"/>
  <c r="AL742" i="1"/>
  <c r="AL741" i="1"/>
  <c r="A744" i="1"/>
  <c r="A745" i="1"/>
  <c r="AL745" i="1" l="1"/>
  <c r="B1" i="3"/>
  <c r="B2" i="3" s="1"/>
  <c r="AL744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R69" i="2" l="1"/>
  <c r="G69" i="2"/>
  <c r="G68" i="2"/>
  <c r="R68" i="2"/>
  <c r="G67" i="2"/>
  <c r="R67" i="2"/>
  <c r="G66" i="2"/>
  <c r="R66" i="2"/>
  <c r="G65" i="2"/>
  <c r="R65" i="2"/>
  <c r="R64" i="2"/>
  <c r="G64" i="2"/>
  <c r="R63" i="2"/>
  <c r="G63" i="2"/>
  <c r="R62" i="2"/>
  <c r="G62" i="2"/>
  <c r="R61" i="2"/>
  <c r="G61" i="2"/>
  <c r="R60" i="2"/>
  <c r="G60" i="2"/>
  <c r="G59" i="2"/>
  <c r="R59" i="2"/>
  <c r="G58" i="2"/>
  <c r="R58" i="2"/>
  <c r="R57" i="2"/>
  <c r="G57" i="2"/>
  <c r="G56" i="2"/>
  <c r="R56" i="2"/>
  <c r="G55" i="2"/>
  <c r="R55" i="2"/>
  <c r="R54" i="2"/>
  <c r="G54" i="2"/>
  <c r="G53" i="2"/>
  <c r="R53" i="2"/>
  <c r="G52" i="2"/>
  <c r="R52" i="2"/>
  <c r="G51" i="2"/>
  <c r="R51" i="2"/>
  <c r="G50" i="2"/>
  <c r="R50" i="2"/>
  <c r="R49" i="2"/>
  <c r="G49" i="2"/>
  <c r="R48" i="2"/>
  <c r="G48" i="2"/>
  <c r="R47" i="2"/>
  <c r="G47" i="2"/>
  <c r="R46" i="2"/>
  <c r="G46" i="2"/>
  <c r="R45" i="2"/>
  <c r="G45" i="2"/>
  <c r="G44" i="2"/>
  <c r="R44" i="2"/>
  <c r="G43" i="2"/>
  <c r="R43" i="2"/>
  <c r="G42" i="2"/>
  <c r="R42" i="2"/>
  <c r="R41" i="2"/>
  <c r="G41" i="2"/>
  <c r="G40" i="2"/>
  <c r="R40" i="2"/>
  <c r="R39" i="2"/>
  <c r="G39" i="2"/>
  <c r="G38" i="2"/>
  <c r="R38" i="2"/>
  <c r="R37" i="2"/>
  <c r="G37" i="2"/>
  <c r="G36" i="2"/>
  <c r="R36" i="2"/>
  <c r="R35" i="2"/>
  <c r="G35" i="2"/>
  <c r="G34" i="2"/>
  <c r="R34" i="2"/>
  <c r="R33" i="2"/>
  <c r="G33" i="2"/>
  <c r="G32" i="2"/>
  <c r="R32" i="2"/>
  <c r="G31" i="2"/>
  <c r="R31" i="2"/>
  <c r="R30" i="2"/>
  <c r="G30" i="2"/>
  <c r="G29" i="2"/>
  <c r="R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R21" i="2"/>
  <c r="G21" i="2"/>
  <c r="R20" i="2"/>
  <c r="G20" i="2"/>
  <c r="R19" i="2"/>
  <c r="G19" i="2"/>
  <c r="G18" i="2"/>
  <c r="R18" i="2"/>
  <c r="G17" i="2"/>
  <c r="R17" i="2"/>
  <c r="G16" i="2"/>
  <c r="R16" i="2"/>
  <c r="G15" i="2"/>
  <c r="R15" i="2"/>
  <c r="G14" i="2"/>
  <c r="R14" i="2"/>
  <c r="R13" i="2"/>
  <c r="G13" i="2"/>
  <c r="G12" i="2"/>
  <c r="R12" i="2"/>
  <c r="G11" i="2"/>
  <c r="R11" i="2"/>
  <c r="G10" i="2"/>
  <c r="R10" i="2"/>
  <c r="R9" i="2"/>
  <c r="G9" i="2"/>
  <c r="R8" i="2"/>
  <c r="G8" i="2"/>
  <c r="R7" i="2"/>
  <c r="G7" i="2"/>
  <c r="G6" i="2"/>
  <c r="R6" i="2"/>
  <c r="G5" i="2"/>
  <c r="R5" i="2"/>
  <c r="G4" i="2"/>
  <c r="R4" i="2"/>
  <c r="G3" i="2"/>
  <c r="R3" i="2"/>
  <c r="C69" i="2"/>
  <c r="J69" i="2"/>
  <c r="B69" i="2"/>
  <c r="H68" i="2"/>
  <c r="J68" i="2"/>
  <c r="C68" i="2"/>
  <c r="J67" i="2"/>
  <c r="C67" i="2"/>
  <c r="H67" i="2"/>
  <c r="J66" i="2"/>
  <c r="H66" i="2"/>
  <c r="I66" i="2"/>
  <c r="H65" i="2"/>
  <c r="F65" i="2"/>
  <c r="J65" i="2"/>
  <c r="H64" i="2"/>
  <c r="F64" i="2"/>
  <c r="I64" i="2"/>
  <c r="H63" i="2"/>
  <c r="B63" i="2"/>
  <c r="C63" i="2"/>
  <c r="C62" i="2"/>
  <c r="H62" i="2"/>
  <c r="F62" i="2"/>
  <c r="I61" i="2"/>
  <c r="B61" i="2"/>
  <c r="J61" i="2"/>
  <c r="B60" i="2"/>
  <c r="I60" i="2"/>
  <c r="H60" i="2"/>
  <c r="H59" i="2"/>
  <c r="B59" i="2"/>
  <c r="C59" i="2"/>
  <c r="C58" i="2"/>
  <c r="B58" i="2"/>
  <c r="F58" i="2"/>
  <c r="H57" i="2"/>
  <c r="B57" i="2"/>
  <c r="C57" i="2"/>
  <c r="J56" i="2"/>
  <c r="I56" i="2"/>
  <c r="F56" i="2"/>
  <c r="J55" i="2"/>
  <c r="F55" i="2"/>
  <c r="I55" i="2"/>
  <c r="C54" i="2"/>
  <c r="J54" i="2"/>
  <c r="F54" i="2"/>
  <c r="J53" i="2"/>
  <c r="B53" i="2"/>
  <c r="C53" i="2"/>
  <c r="J52" i="2"/>
  <c r="F52" i="2"/>
  <c r="C52" i="2"/>
  <c r="I51" i="2"/>
  <c r="J51" i="2"/>
  <c r="B51" i="2"/>
  <c r="J50" i="2"/>
  <c r="F50" i="2"/>
  <c r="C50" i="2"/>
  <c r="I49" i="2"/>
  <c r="F49" i="2"/>
  <c r="J49" i="2"/>
  <c r="I48" i="2"/>
  <c r="F48" i="2"/>
  <c r="C48" i="2"/>
  <c r="I47" i="2"/>
  <c r="J47" i="2"/>
  <c r="B47" i="2"/>
  <c r="C46" i="2"/>
  <c r="I46" i="2"/>
  <c r="B46" i="2"/>
  <c r="H45" i="2"/>
  <c r="F45" i="2"/>
  <c r="J45" i="2"/>
  <c r="I44" i="2"/>
  <c r="F44" i="2"/>
  <c r="C44" i="2"/>
  <c r="J43" i="2"/>
  <c r="I43" i="2"/>
  <c r="C43" i="2"/>
  <c r="J42" i="2"/>
  <c r="F42" i="2"/>
  <c r="C42" i="2"/>
  <c r="J41" i="2"/>
  <c r="H41" i="2"/>
  <c r="C41" i="2"/>
  <c r="H40" i="2"/>
  <c r="J40" i="2"/>
  <c r="I40" i="2"/>
  <c r="B39" i="2"/>
  <c r="I39" i="2"/>
  <c r="J39" i="2"/>
  <c r="I38" i="2"/>
  <c r="B38" i="2"/>
  <c r="F38" i="2"/>
  <c r="B37" i="2"/>
  <c r="J37" i="2"/>
  <c r="F37" i="2"/>
  <c r="F36" i="2"/>
  <c r="H36" i="2"/>
  <c r="J36" i="2"/>
  <c r="B35" i="2"/>
  <c r="F35" i="2"/>
  <c r="C35" i="2"/>
  <c r="J34" i="2"/>
  <c r="H34" i="2"/>
  <c r="F34" i="2"/>
  <c r="H33" i="2"/>
  <c r="I33" i="2"/>
  <c r="J33" i="2"/>
  <c r="J32" i="2"/>
  <c r="H32" i="2"/>
  <c r="F32" i="2"/>
  <c r="C31" i="2"/>
  <c r="I31" i="2"/>
  <c r="F31" i="2"/>
  <c r="H30" i="2"/>
  <c r="F30" i="2"/>
  <c r="C30" i="2"/>
  <c r="H29" i="2"/>
  <c r="I29" i="2"/>
  <c r="J29" i="2"/>
  <c r="C28" i="2"/>
  <c r="J28" i="2"/>
  <c r="F28" i="2"/>
  <c r="J27" i="2"/>
  <c r="B27" i="2"/>
  <c r="F27" i="2"/>
  <c r="C27" i="2"/>
  <c r="C26" i="2"/>
  <c r="H26" i="2"/>
  <c r="I26" i="2"/>
  <c r="J25" i="2"/>
  <c r="B25" i="2"/>
  <c r="I25" i="2"/>
  <c r="C25" i="2"/>
  <c r="C24" i="2"/>
  <c r="I24" i="2"/>
  <c r="H24" i="2"/>
  <c r="J23" i="2"/>
  <c r="H23" i="2"/>
  <c r="I23" i="2"/>
  <c r="B23" i="2"/>
  <c r="I22" i="2"/>
  <c r="B22" i="2"/>
  <c r="C22" i="2"/>
  <c r="J21" i="2"/>
  <c r="H21" i="2"/>
  <c r="I21" i="2"/>
  <c r="H20" i="2"/>
  <c r="C20" i="2"/>
  <c r="J19" i="2"/>
  <c r="H19" i="2"/>
  <c r="F19" i="2"/>
  <c r="C18" i="2"/>
  <c r="H18" i="2"/>
  <c r="I18" i="2"/>
  <c r="J17" i="2"/>
  <c r="H17" i="2"/>
  <c r="C17" i="2"/>
  <c r="I17" i="2"/>
  <c r="B16" i="2"/>
  <c r="I16" i="2"/>
  <c r="F16" i="2"/>
  <c r="J15" i="2"/>
  <c r="B15" i="2"/>
  <c r="I15" i="2"/>
  <c r="C15" i="2"/>
  <c r="B14" i="2"/>
  <c r="C14" i="2"/>
  <c r="J13" i="2"/>
  <c r="H13" i="2"/>
  <c r="I13" i="2"/>
  <c r="B13" i="2"/>
  <c r="B12" i="2"/>
  <c r="I12" i="2"/>
  <c r="F12" i="2"/>
  <c r="J11" i="2"/>
  <c r="C11" i="2"/>
  <c r="H11" i="2"/>
  <c r="B11" i="2"/>
  <c r="H10" i="2"/>
  <c r="I10" i="2"/>
  <c r="C10" i="2"/>
  <c r="J9" i="2"/>
  <c r="F9" i="2"/>
  <c r="I9" i="2"/>
  <c r="I8" i="2"/>
  <c r="C8" i="2"/>
  <c r="F8" i="2"/>
  <c r="J7" i="2"/>
  <c r="B7" i="2"/>
  <c r="H7" i="2"/>
  <c r="F7" i="2"/>
  <c r="H6" i="2"/>
  <c r="C6" i="2"/>
  <c r="J5" i="2"/>
  <c r="C5" i="2"/>
  <c r="F5" i="2"/>
  <c r="C4" i="2"/>
  <c r="H4" i="2"/>
  <c r="F3" i="2"/>
  <c r="C3" i="2"/>
  <c r="I3" i="2"/>
  <c r="J3" i="2"/>
  <c r="F69" i="2"/>
  <c r="H69" i="2"/>
  <c r="I69" i="2"/>
  <c r="B68" i="2"/>
  <c r="F68" i="2"/>
  <c r="I68" i="2"/>
  <c r="I67" i="2"/>
  <c r="B67" i="2"/>
  <c r="F67" i="2"/>
  <c r="B66" i="2"/>
  <c r="C66" i="2"/>
  <c r="F66" i="2"/>
  <c r="I65" i="2"/>
  <c r="B65" i="2"/>
  <c r="C65" i="2"/>
  <c r="J64" i="2"/>
  <c r="C64" i="2"/>
  <c r="B64" i="2"/>
  <c r="I63" i="2"/>
  <c r="J63" i="2"/>
  <c r="F63" i="2"/>
  <c r="J62" i="2"/>
  <c r="I62" i="2"/>
  <c r="B62" i="2"/>
  <c r="H61" i="2"/>
  <c r="F61" i="2"/>
  <c r="C61" i="2"/>
  <c r="C60" i="2"/>
  <c r="J60" i="2"/>
  <c r="F60" i="2"/>
  <c r="I59" i="2"/>
  <c r="J59" i="2"/>
  <c r="F59" i="2"/>
  <c r="H58" i="2"/>
  <c r="I58" i="2"/>
  <c r="J58" i="2"/>
  <c r="J57" i="2"/>
  <c r="I57" i="2"/>
  <c r="F57" i="2"/>
  <c r="H56" i="2"/>
  <c r="C56" i="2"/>
  <c r="B56" i="2"/>
  <c r="B55" i="2"/>
  <c r="H55" i="2"/>
  <c r="C55" i="2"/>
  <c r="H54" i="2"/>
  <c r="I54" i="2"/>
  <c r="B54" i="2"/>
  <c r="H53" i="2"/>
  <c r="I53" i="2"/>
  <c r="F53" i="2"/>
  <c r="I52" i="2"/>
  <c r="B52" i="2"/>
  <c r="H52" i="2"/>
  <c r="C51" i="2"/>
  <c r="H51" i="2"/>
  <c r="F51" i="2"/>
  <c r="H50" i="2"/>
  <c r="B50" i="2"/>
  <c r="I50" i="2"/>
  <c r="C49" i="2"/>
  <c r="H49" i="2"/>
  <c r="B49" i="2"/>
  <c r="H48" i="2"/>
  <c r="B48" i="2"/>
  <c r="J48" i="2"/>
  <c r="C47" i="2"/>
  <c r="H47" i="2"/>
  <c r="F47" i="2"/>
  <c r="J46" i="2"/>
  <c r="F46" i="2"/>
  <c r="H46" i="2"/>
  <c r="C45" i="2"/>
  <c r="I45" i="2"/>
  <c r="B45" i="2"/>
  <c r="J44" i="2"/>
  <c r="B44" i="2"/>
  <c r="H44" i="2"/>
  <c r="B43" i="2"/>
  <c r="H43" i="2"/>
  <c r="F43" i="2"/>
  <c r="I42" i="2"/>
  <c r="B42" i="2"/>
  <c r="H42" i="2"/>
  <c r="B41" i="2"/>
  <c r="I41" i="2"/>
  <c r="F41" i="2"/>
  <c r="B40" i="2"/>
  <c r="C40" i="2"/>
  <c r="F40" i="2"/>
  <c r="F39" i="2"/>
  <c r="H39" i="2"/>
  <c r="C39" i="2"/>
  <c r="H38" i="2"/>
  <c r="C38" i="2"/>
  <c r="J38" i="2"/>
  <c r="I37" i="2"/>
  <c r="H37" i="2"/>
  <c r="C37" i="2"/>
  <c r="B36" i="2"/>
  <c r="I36" i="2"/>
  <c r="C36" i="2"/>
  <c r="H35" i="2"/>
  <c r="J35" i="2"/>
  <c r="I35" i="2"/>
  <c r="B34" i="2"/>
  <c r="C34" i="2"/>
  <c r="I34" i="2"/>
  <c r="C33" i="2"/>
  <c r="B33" i="2"/>
  <c r="F33" i="2"/>
  <c r="B32" i="2"/>
  <c r="I32" i="2"/>
  <c r="C32" i="2"/>
  <c r="J31" i="2"/>
  <c r="B31" i="2"/>
  <c r="H31" i="2"/>
  <c r="B30" i="2"/>
  <c r="J30" i="2"/>
  <c r="I30" i="2"/>
  <c r="C29" i="2"/>
  <c r="F29" i="2"/>
  <c r="B29" i="2"/>
  <c r="B28" i="2"/>
  <c r="H28" i="2"/>
  <c r="I28" i="2"/>
  <c r="I27" i="2"/>
  <c r="H27" i="2"/>
  <c r="J26" i="2"/>
  <c r="B26" i="2"/>
  <c r="F26" i="2"/>
  <c r="H25" i="2"/>
  <c r="F25" i="2"/>
  <c r="J24" i="2"/>
  <c r="F24" i="2"/>
  <c r="B24" i="2"/>
  <c r="C23" i="2"/>
  <c r="F23" i="2"/>
  <c r="J22" i="2"/>
  <c r="H22" i="2"/>
  <c r="F22" i="2"/>
  <c r="C21" i="2"/>
  <c r="B21" i="2"/>
  <c r="F21" i="2"/>
  <c r="J20" i="2"/>
  <c r="B20" i="2"/>
  <c r="I20" i="2"/>
  <c r="F20" i="2"/>
  <c r="B19" i="2"/>
  <c r="I19" i="2"/>
  <c r="C19" i="2"/>
  <c r="J18" i="2"/>
  <c r="F18" i="2"/>
  <c r="B18" i="2"/>
  <c r="F17" i="2"/>
  <c r="B17" i="2"/>
  <c r="J16" i="2"/>
  <c r="H16" i="2"/>
  <c r="C16" i="2"/>
  <c r="F15" i="2"/>
  <c r="H15" i="2"/>
  <c r="J14" i="2"/>
  <c r="I14" i="2"/>
  <c r="H14" i="2"/>
  <c r="F14" i="2"/>
  <c r="F13" i="2"/>
  <c r="C13" i="2"/>
  <c r="J12" i="2"/>
  <c r="H12" i="2"/>
  <c r="C12" i="2"/>
  <c r="I11" i="2"/>
  <c r="F11" i="2"/>
  <c r="J10" i="2"/>
  <c r="B10" i="2"/>
  <c r="F10" i="2"/>
  <c r="C9" i="2"/>
  <c r="H9" i="2"/>
  <c r="B9" i="2"/>
  <c r="J8" i="2"/>
  <c r="H8" i="2"/>
  <c r="B8" i="2"/>
  <c r="C7" i="2"/>
  <c r="I7" i="2"/>
  <c r="J6" i="2"/>
  <c r="B6" i="2"/>
  <c r="F6" i="2"/>
  <c r="I6" i="2"/>
  <c r="H5" i="2"/>
  <c r="B5" i="2"/>
  <c r="I5" i="2"/>
  <c r="J4" i="2"/>
  <c r="B4" i="2"/>
  <c r="I4" i="2"/>
  <c r="F4" i="2"/>
  <c r="B3" i="2"/>
  <c r="H3" i="2"/>
  <c r="B4" i="4"/>
  <c r="B3" i="9"/>
  <c r="B3" i="7"/>
  <c r="B3" i="11"/>
  <c r="B3" i="14"/>
  <c r="B3" i="8"/>
  <c r="B3" i="12"/>
  <c r="B3" i="5"/>
  <c r="B5" i="4"/>
  <c r="B4" i="8"/>
  <c r="B4" i="5"/>
  <c r="B6" i="4"/>
  <c r="B5" i="8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D2" i="2" l="1"/>
  <c r="E3" i="2"/>
  <c r="D3" i="2"/>
  <c r="N36" i="4"/>
  <c r="N44" i="4"/>
  <c r="N42" i="4"/>
  <c r="N43" i="4"/>
  <c r="N51" i="4"/>
  <c r="N33" i="4"/>
  <c r="N47" i="4"/>
  <c r="N41" i="4"/>
  <c r="N39" i="4"/>
  <c r="N40" i="4"/>
  <c r="N35" i="4"/>
  <c r="N37" i="4"/>
  <c r="N50" i="4"/>
  <c r="N46" i="4"/>
  <c r="N52" i="4"/>
  <c r="N45" i="4"/>
  <c r="N38" i="4"/>
  <c r="N34" i="4"/>
  <c r="N48" i="4"/>
  <c r="N49" i="4"/>
  <c r="K3" i="2"/>
  <c r="L3" i="2"/>
  <c r="E4" i="2"/>
  <c r="D4" i="2"/>
  <c r="K4" i="2"/>
  <c r="L4" i="2"/>
  <c r="E5" i="2"/>
  <c r="D5" i="2"/>
  <c r="L5" i="2"/>
  <c r="K5" i="2"/>
  <c r="E6" i="2"/>
  <c r="D6" i="2"/>
  <c r="L6" i="2"/>
  <c r="K6" i="2"/>
  <c r="E8" i="2"/>
  <c r="D8" i="2"/>
  <c r="K8" i="2"/>
  <c r="L8" i="2"/>
  <c r="E9" i="2"/>
  <c r="D9" i="2"/>
  <c r="L9" i="2"/>
  <c r="K9" i="2"/>
  <c r="E10" i="2"/>
  <c r="D10" i="2"/>
  <c r="L10" i="2"/>
  <c r="K10" i="2"/>
  <c r="E17" i="2"/>
  <c r="D17" i="2"/>
  <c r="K17" i="2"/>
  <c r="L17" i="2"/>
  <c r="E18" i="2"/>
  <c r="D18" i="2"/>
  <c r="L18" i="2"/>
  <c r="K18" i="2"/>
  <c r="E19" i="2"/>
  <c r="D19" i="2"/>
  <c r="K19" i="2"/>
  <c r="L19" i="2"/>
  <c r="E20" i="2"/>
  <c r="D20" i="2"/>
  <c r="L20" i="2"/>
  <c r="K20" i="2"/>
  <c r="E21" i="2"/>
  <c r="D21" i="2"/>
  <c r="L21" i="2"/>
  <c r="K21" i="2"/>
  <c r="E24" i="2"/>
  <c r="D24" i="2"/>
  <c r="K24" i="2"/>
  <c r="L24" i="2"/>
  <c r="E26" i="2"/>
  <c r="D26" i="2"/>
  <c r="K26" i="2"/>
  <c r="L26" i="2"/>
  <c r="E28" i="2"/>
  <c r="D28" i="2"/>
  <c r="K28" i="2"/>
  <c r="L28" i="2"/>
  <c r="D29" i="2"/>
  <c r="E29" i="2"/>
  <c r="L29" i="2"/>
  <c r="K29" i="2"/>
  <c r="D30" i="2"/>
  <c r="E30" i="2"/>
  <c r="L30" i="2"/>
  <c r="K30" i="2"/>
  <c r="D31" i="2"/>
  <c r="E31" i="2"/>
  <c r="K31" i="2"/>
  <c r="L31" i="2"/>
  <c r="E32" i="2"/>
  <c r="D32" i="2"/>
  <c r="K32" i="2"/>
  <c r="L32" i="2"/>
  <c r="D33" i="2"/>
  <c r="E33" i="2"/>
  <c r="L33" i="2"/>
  <c r="K33" i="2"/>
  <c r="E34" i="2"/>
  <c r="D34" i="2"/>
  <c r="L34" i="2"/>
  <c r="K34" i="2"/>
  <c r="D36" i="2"/>
  <c r="E36" i="2"/>
  <c r="K36" i="2"/>
  <c r="L36" i="2"/>
  <c r="E40" i="2"/>
  <c r="D40" i="2"/>
  <c r="K40" i="2"/>
  <c r="L40" i="2"/>
  <c r="E41" i="2"/>
  <c r="D41" i="2"/>
  <c r="K41" i="2"/>
  <c r="L41" i="2"/>
  <c r="D42" i="2"/>
  <c r="E42" i="2"/>
  <c r="K42" i="2"/>
  <c r="L42" i="2"/>
  <c r="E43" i="2"/>
  <c r="D43" i="2"/>
  <c r="L43" i="2"/>
  <c r="K43" i="2"/>
  <c r="D44" i="2"/>
  <c r="E44" i="2"/>
  <c r="L44" i="2"/>
  <c r="K44" i="2"/>
  <c r="E45" i="2"/>
  <c r="D45" i="2"/>
  <c r="L45" i="2"/>
  <c r="K45" i="2"/>
  <c r="D48" i="2"/>
  <c r="E48" i="2"/>
  <c r="K48" i="2"/>
  <c r="L48" i="2"/>
  <c r="D49" i="2"/>
  <c r="E49" i="2"/>
  <c r="K49" i="2"/>
  <c r="L49" i="2"/>
  <c r="E50" i="2"/>
  <c r="D50" i="2"/>
  <c r="K50" i="2"/>
  <c r="L50" i="2"/>
  <c r="E52" i="2"/>
  <c r="D52" i="2"/>
  <c r="K52" i="2"/>
  <c r="L52" i="2"/>
  <c r="E54" i="2"/>
  <c r="D54" i="2"/>
  <c r="K54" i="2"/>
  <c r="L54" i="2"/>
  <c r="E55" i="2"/>
  <c r="D55" i="2"/>
  <c r="K55" i="2"/>
  <c r="L55" i="2"/>
  <c r="D56" i="2"/>
  <c r="E56" i="2"/>
  <c r="K56" i="2"/>
  <c r="L56" i="2"/>
  <c r="E62" i="2"/>
  <c r="D62" i="2"/>
  <c r="K62" i="2"/>
  <c r="L62" i="2"/>
  <c r="D64" i="2"/>
  <c r="E64" i="2"/>
  <c r="K64" i="2"/>
  <c r="L64" i="2"/>
  <c r="E65" i="2"/>
  <c r="D65" i="2"/>
  <c r="L65" i="2"/>
  <c r="K65" i="2"/>
  <c r="D66" i="2"/>
  <c r="E66" i="2"/>
  <c r="K66" i="2"/>
  <c r="L66" i="2"/>
  <c r="D67" i="2"/>
  <c r="E67" i="2"/>
  <c r="K67" i="2"/>
  <c r="L67" i="2"/>
  <c r="D68" i="2"/>
  <c r="E68" i="2"/>
  <c r="K68" i="2"/>
  <c r="L68" i="2"/>
  <c r="E7" i="2"/>
  <c r="D7" i="2"/>
  <c r="L7" i="2"/>
  <c r="K7" i="2"/>
  <c r="E11" i="2"/>
  <c r="D11" i="2"/>
  <c r="K11" i="2"/>
  <c r="L11" i="2"/>
  <c r="E12" i="2"/>
  <c r="D12" i="2"/>
  <c r="K12" i="2"/>
  <c r="L12" i="2"/>
  <c r="E13" i="2"/>
  <c r="D13" i="2"/>
  <c r="L13" i="2"/>
  <c r="K13" i="2"/>
  <c r="E14" i="2"/>
  <c r="D14" i="2"/>
  <c r="K14" i="2"/>
  <c r="L14" i="2"/>
  <c r="E15" i="2"/>
  <c r="D15" i="2"/>
  <c r="K15" i="2"/>
  <c r="L15" i="2"/>
  <c r="E16" i="2"/>
  <c r="D16" i="2"/>
  <c r="L16" i="2"/>
  <c r="K16" i="2"/>
  <c r="E22" i="2"/>
  <c r="D22" i="2"/>
  <c r="L22" i="2"/>
  <c r="K22" i="2"/>
  <c r="E23" i="2"/>
  <c r="D23" i="2"/>
  <c r="K23" i="2"/>
  <c r="L23" i="2"/>
  <c r="E25" i="2"/>
  <c r="D25" i="2"/>
  <c r="L25" i="2"/>
  <c r="K25" i="2"/>
  <c r="E27" i="2"/>
  <c r="D27" i="2"/>
  <c r="L27" i="2"/>
  <c r="K27" i="2"/>
  <c r="D35" i="2"/>
  <c r="E35" i="2"/>
  <c r="L35" i="2"/>
  <c r="K35" i="2"/>
  <c r="D37" i="2"/>
  <c r="E37" i="2"/>
  <c r="L37" i="2"/>
  <c r="K37" i="2"/>
  <c r="D38" i="2"/>
  <c r="E38" i="2"/>
  <c r="L38" i="2"/>
  <c r="K38" i="2"/>
  <c r="D39" i="2"/>
  <c r="E39" i="2"/>
  <c r="K39" i="2"/>
  <c r="L39" i="2"/>
  <c r="E46" i="2"/>
  <c r="D46" i="2"/>
  <c r="L46" i="2"/>
  <c r="K46" i="2"/>
  <c r="D47" i="2"/>
  <c r="E47" i="2"/>
  <c r="L47" i="2"/>
  <c r="K47" i="2"/>
  <c r="E51" i="2"/>
  <c r="D51" i="2"/>
  <c r="K51" i="2"/>
  <c r="L51" i="2"/>
  <c r="E53" i="2"/>
  <c r="D53" i="2"/>
  <c r="L53" i="2"/>
  <c r="K53" i="2"/>
  <c r="E57" i="2"/>
  <c r="D57" i="2"/>
  <c r="K57" i="2"/>
  <c r="L57" i="2"/>
  <c r="D58" i="2"/>
  <c r="E58" i="2"/>
  <c r="L58" i="2"/>
  <c r="K58" i="2"/>
  <c r="E59" i="2"/>
  <c r="D59" i="2"/>
  <c r="L59" i="2"/>
  <c r="K59" i="2"/>
  <c r="E60" i="2"/>
  <c r="D60" i="2"/>
  <c r="K60" i="2"/>
  <c r="L60" i="2"/>
  <c r="E61" i="2"/>
  <c r="D61" i="2"/>
  <c r="L61" i="2"/>
  <c r="K61" i="2"/>
  <c r="D63" i="2"/>
  <c r="E63" i="2"/>
  <c r="L63" i="2"/>
  <c r="K63" i="2"/>
  <c r="D69" i="2"/>
  <c r="E69" i="2"/>
  <c r="L69" i="2"/>
  <c r="K69" i="2"/>
  <c r="F32" i="4"/>
  <c r="C32" i="4"/>
  <c r="D32" i="4"/>
  <c r="I32" i="4"/>
  <c r="F30" i="5"/>
  <c r="H30" i="5"/>
  <c r="C30" i="5"/>
  <c r="G31" i="4"/>
  <c r="H31" i="4"/>
  <c r="C31" i="4"/>
  <c r="I31" i="4"/>
  <c r="F29" i="5"/>
  <c r="G29" i="5"/>
  <c r="C29" i="5"/>
  <c r="F30" i="4"/>
  <c r="C30" i="4"/>
  <c r="D30" i="4"/>
  <c r="I30" i="4"/>
  <c r="G28" i="5"/>
  <c r="C28" i="5"/>
  <c r="D28" i="5"/>
  <c r="F29" i="4"/>
  <c r="G29" i="4"/>
  <c r="C29" i="4"/>
  <c r="E29" i="4"/>
  <c r="G27" i="5"/>
  <c r="C27" i="5"/>
  <c r="F27" i="5"/>
  <c r="H28" i="4"/>
  <c r="C28" i="4"/>
  <c r="D28" i="4"/>
  <c r="I28" i="4"/>
  <c r="F26" i="5"/>
  <c r="C26" i="5"/>
  <c r="D26" i="5"/>
  <c r="G27" i="4"/>
  <c r="H27" i="4"/>
  <c r="C27" i="4"/>
  <c r="J27" i="4"/>
  <c r="G25" i="5"/>
  <c r="C25" i="5"/>
  <c r="H25" i="5"/>
  <c r="G26" i="4"/>
  <c r="H26" i="4"/>
  <c r="C26" i="4"/>
  <c r="I26" i="4"/>
  <c r="F24" i="5"/>
  <c r="D24" i="5"/>
  <c r="C24" i="5"/>
  <c r="F25" i="4"/>
  <c r="C25" i="4"/>
  <c r="D25" i="4"/>
  <c r="I25" i="4"/>
  <c r="H23" i="5"/>
  <c r="F23" i="5"/>
  <c r="C23" i="5"/>
  <c r="G24" i="4"/>
  <c r="F24" i="4"/>
  <c r="C24" i="4"/>
  <c r="J24" i="4"/>
  <c r="F22" i="5"/>
  <c r="D22" i="5"/>
  <c r="C22" i="5"/>
  <c r="F23" i="4"/>
  <c r="C23" i="4"/>
  <c r="D23" i="4"/>
  <c r="I23" i="4"/>
  <c r="G21" i="5"/>
  <c r="H21" i="5"/>
  <c r="D21" i="5"/>
  <c r="F22" i="4"/>
  <c r="G22" i="4"/>
  <c r="C22" i="4"/>
  <c r="J22" i="4"/>
  <c r="G20" i="5"/>
  <c r="C20" i="5"/>
  <c r="H20" i="5"/>
  <c r="H21" i="4"/>
  <c r="C21" i="4"/>
  <c r="D21" i="4"/>
  <c r="J21" i="4"/>
  <c r="H19" i="5"/>
  <c r="G19" i="5"/>
  <c r="C19" i="5"/>
  <c r="G20" i="4"/>
  <c r="H20" i="4"/>
  <c r="C20" i="4"/>
  <c r="I20" i="4"/>
  <c r="F18" i="5"/>
  <c r="D18" i="5"/>
  <c r="C18" i="5"/>
  <c r="H19" i="4"/>
  <c r="D19" i="4"/>
  <c r="C19" i="4"/>
  <c r="I19" i="4"/>
  <c r="G17" i="5"/>
  <c r="F17" i="5"/>
  <c r="D17" i="5"/>
  <c r="H18" i="4"/>
  <c r="G18" i="4"/>
  <c r="C18" i="4"/>
  <c r="J18" i="4"/>
  <c r="H16" i="5"/>
  <c r="C16" i="5"/>
  <c r="D16" i="5"/>
  <c r="G17" i="4"/>
  <c r="C17" i="4"/>
  <c r="D17" i="4"/>
  <c r="J17" i="4"/>
  <c r="F15" i="5"/>
  <c r="G15" i="5"/>
  <c r="C15" i="5"/>
  <c r="H16" i="4"/>
  <c r="F16" i="4"/>
  <c r="C16" i="4"/>
  <c r="I16" i="4"/>
  <c r="G14" i="5"/>
  <c r="F14" i="5"/>
  <c r="D14" i="5"/>
  <c r="F15" i="4"/>
  <c r="G15" i="4"/>
  <c r="D15" i="4"/>
  <c r="J15" i="4"/>
  <c r="F13" i="5"/>
  <c r="G13" i="5"/>
  <c r="H13" i="5"/>
  <c r="H14" i="4"/>
  <c r="C14" i="4"/>
  <c r="G14" i="4"/>
  <c r="J14" i="4"/>
  <c r="C12" i="5"/>
  <c r="F12" i="5"/>
  <c r="E12" i="5"/>
  <c r="D13" i="4"/>
  <c r="H13" i="4"/>
  <c r="G13" i="4"/>
  <c r="I13" i="4"/>
  <c r="G11" i="5"/>
  <c r="F11" i="5"/>
  <c r="H11" i="5"/>
  <c r="H12" i="4"/>
  <c r="D12" i="4"/>
  <c r="F12" i="4"/>
  <c r="J12" i="4"/>
  <c r="F10" i="5"/>
  <c r="C10" i="5"/>
  <c r="E10" i="5"/>
  <c r="G11" i="4"/>
  <c r="H11" i="4"/>
  <c r="D11" i="4"/>
  <c r="I11" i="4"/>
  <c r="D9" i="5"/>
  <c r="E9" i="5"/>
  <c r="H9" i="5"/>
  <c r="C10" i="4"/>
  <c r="F10" i="4"/>
  <c r="G10" i="4"/>
  <c r="I10" i="4"/>
  <c r="D8" i="5"/>
  <c r="C8" i="5"/>
  <c r="E8" i="5"/>
  <c r="D9" i="4"/>
  <c r="H9" i="4"/>
  <c r="E9" i="4"/>
  <c r="J9" i="4"/>
  <c r="G7" i="5"/>
  <c r="F7" i="5"/>
  <c r="E7" i="5"/>
  <c r="C8" i="4"/>
  <c r="F8" i="4"/>
  <c r="E8" i="4"/>
  <c r="I8" i="4"/>
  <c r="H6" i="5"/>
  <c r="G6" i="5"/>
  <c r="C6" i="5"/>
  <c r="E7" i="4"/>
  <c r="C7" i="4"/>
  <c r="G7" i="4"/>
  <c r="J7" i="4"/>
  <c r="D5" i="5"/>
  <c r="C5" i="5"/>
  <c r="H5" i="5"/>
  <c r="G5" i="8"/>
  <c r="C5" i="8"/>
  <c r="D5" i="8"/>
  <c r="I5" i="8"/>
  <c r="C6" i="4"/>
  <c r="D6" i="4"/>
  <c r="G6" i="4"/>
  <c r="I6" i="4"/>
  <c r="F4" i="5"/>
  <c r="G4" i="5"/>
  <c r="D4" i="5"/>
  <c r="H4" i="8"/>
  <c r="G4" i="8"/>
  <c r="C4" i="8"/>
  <c r="J4" i="8"/>
  <c r="D5" i="4"/>
  <c r="E5" i="4"/>
  <c r="H5" i="4"/>
  <c r="J5" i="4"/>
  <c r="F3" i="5"/>
  <c r="G3" i="5"/>
  <c r="D3" i="5"/>
  <c r="E3" i="12"/>
  <c r="F3" i="12"/>
  <c r="C3" i="12"/>
  <c r="F3" i="8"/>
  <c r="D3" i="8"/>
  <c r="C3" i="8"/>
  <c r="I3" i="8"/>
  <c r="F3" i="14"/>
  <c r="C3" i="14"/>
  <c r="E3" i="14"/>
  <c r="F3" i="11"/>
  <c r="G3" i="11"/>
  <c r="E3" i="11"/>
  <c r="D3" i="7"/>
  <c r="G3" i="7"/>
  <c r="E3" i="7"/>
  <c r="G3" i="9"/>
  <c r="H3" i="9"/>
  <c r="E3" i="9"/>
  <c r="I3" i="9"/>
  <c r="C4" i="4"/>
  <c r="J4" i="4"/>
  <c r="E4" i="4"/>
  <c r="H4" i="4"/>
  <c r="N29" i="2"/>
  <c r="N30" i="2"/>
  <c r="N31" i="2"/>
  <c r="N33" i="2"/>
  <c r="N36" i="2"/>
  <c r="N42" i="2"/>
  <c r="N44" i="2"/>
  <c r="N48" i="2"/>
  <c r="N49" i="2"/>
  <c r="N56" i="2"/>
  <c r="N64" i="2"/>
  <c r="N66" i="2"/>
  <c r="N67" i="2"/>
  <c r="N7" i="2"/>
  <c r="N11" i="2"/>
  <c r="N12" i="2"/>
  <c r="N13" i="2"/>
  <c r="N14" i="2"/>
  <c r="N15" i="2"/>
  <c r="N16" i="2"/>
  <c r="N22" i="2"/>
  <c r="N23" i="2"/>
  <c r="N25" i="2"/>
  <c r="N27" i="2"/>
  <c r="N46" i="2"/>
  <c r="N51" i="2"/>
  <c r="N53" i="2"/>
  <c r="H3" i="11"/>
  <c r="N58" i="2"/>
  <c r="N63" i="2"/>
  <c r="N69" i="2"/>
  <c r="G32" i="4"/>
  <c r="H32" i="4"/>
  <c r="E32" i="4"/>
  <c r="J32" i="4"/>
  <c r="D30" i="5"/>
  <c r="G30" i="5"/>
  <c r="E30" i="5"/>
  <c r="D31" i="4"/>
  <c r="F31" i="4"/>
  <c r="E31" i="4"/>
  <c r="J31" i="4"/>
  <c r="H29" i="5"/>
  <c r="D29" i="5"/>
  <c r="E29" i="5"/>
  <c r="G30" i="4"/>
  <c r="H30" i="4"/>
  <c r="E30" i="4"/>
  <c r="J30" i="4"/>
  <c r="H28" i="5"/>
  <c r="F28" i="5"/>
  <c r="E28" i="5"/>
  <c r="D29" i="4"/>
  <c r="H29" i="4"/>
  <c r="J29" i="4"/>
  <c r="I29" i="4"/>
  <c r="H27" i="5"/>
  <c r="D27" i="5"/>
  <c r="E27" i="5"/>
  <c r="F28" i="4"/>
  <c r="G28" i="4"/>
  <c r="E28" i="4"/>
  <c r="J28" i="4"/>
  <c r="H26" i="5"/>
  <c r="G26" i="5"/>
  <c r="E26" i="5"/>
  <c r="D27" i="4"/>
  <c r="F27" i="4"/>
  <c r="I27" i="4"/>
  <c r="E27" i="4"/>
  <c r="D25" i="5"/>
  <c r="F25" i="5"/>
  <c r="E25" i="5"/>
  <c r="D26" i="4"/>
  <c r="F26" i="4"/>
  <c r="E26" i="4"/>
  <c r="J26" i="4"/>
  <c r="H24" i="5"/>
  <c r="G24" i="5"/>
  <c r="E24" i="5"/>
  <c r="H25" i="4"/>
  <c r="G25" i="4"/>
  <c r="E25" i="4"/>
  <c r="J25" i="4"/>
  <c r="D23" i="5"/>
  <c r="G23" i="5"/>
  <c r="E23" i="5"/>
  <c r="D24" i="4"/>
  <c r="H24" i="4"/>
  <c r="I24" i="4"/>
  <c r="E24" i="4"/>
  <c r="H22" i="5"/>
  <c r="G22" i="5"/>
  <c r="E22" i="5"/>
  <c r="G23" i="4"/>
  <c r="H23" i="4"/>
  <c r="E23" i="4"/>
  <c r="J23" i="4"/>
  <c r="C21" i="5"/>
  <c r="F21" i="5"/>
  <c r="E21" i="5"/>
  <c r="D22" i="4"/>
  <c r="H22" i="4"/>
  <c r="E22" i="4"/>
  <c r="I22" i="4"/>
  <c r="D20" i="5"/>
  <c r="F20" i="5"/>
  <c r="E20" i="5"/>
  <c r="F21" i="4"/>
  <c r="G21" i="4"/>
  <c r="I21" i="4"/>
  <c r="E21" i="4"/>
  <c r="D19" i="5"/>
  <c r="F19" i="5"/>
  <c r="E19" i="5"/>
  <c r="D20" i="4"/>
  <c r="F20" i="4"/>
  <c r="J20" i="4"/>
  <c r="E20" i="4"/>
  <c r="H18" i="5"/>
  <c r="G18" i="5"/>
  <c r="E18" i="5"/>
  <c r="G19" i="4"/>
  <c r="F19" i="4"/>
  <c r="E19" i="4"/>
  <c r="J19" i="4"/>
  <c r="C17" i="5"/>
  <c r="H17" i="5"/>
  <c r="E17" i="5"/>
  <c r="D18" i="4"/>
  <c r="F18" i="4"/>
  <c r="I18" i="4"/>
  <c r="E18" i="4"/>
  <c r="F16" i="5"/>
  <c r="G16" i="5"/>
  <c r="E16" i="5"/>
  <c r="H17" i="4"/>
  <c r="F17" i="4"/>
  <c r="I17" i="4"/>
  <c r="E17" i="4"/>
  <c r="H15" i="5"/>
  <c r="D15" i="5"/>
  <c r="E15" i="5"/>
  <c r="D16" i="4"/>
  <c r="G16" i="4"/>
  <c r="J16" i="4"/>
  <c r="E16" i="4"/>
  <c r="C14" i="5"/>
  <c r="H14" i="5"/>
  <c r="E14" i="5"/>
  <c r="C15" i="4"/>
  <c r="E15" i="4"/>
  <c r="H15" i="4"/>
  <c r="I15" i="4"/>
  <c r="D13" i="5"/>
  <c r="C13" i="5"/>
  <c r="E13" i="5"/>
  <c r="E14" i="4"/>
  <c r="D14" i="4"/>
  <c r="F14" i="4"/>
  <c r="I14" i="4"/>
  <c r="D12" i="5"/>
  <c r="G12" i="5"/>
  <c r="H12" i="5"/>
  <c r="F13" i="4"/>
  <c r="C13" i="4"/>
  <c r="E13" i="4"/>
  <c r="J13" i="4"/>
  <c r="C11" i="5"/>
  <c r="D11" i="5"/>
  <c r="E11" i="5"/>
  <c r="G12" i="4"/>
  <c r="E12" i="4"/>
  <c r="C12" i="4"/>
  <c r="I12" i="4"/>
  <c r="D10" i="5"/>
  <c r="H10" i="5"/>
  <c r="G10" i="5"/>
  <c r="E11" i="4"/>
  <c r="C11" i="4"/>
  <c r="F11" i="4"/>
  <c r="J11" i="4"/>
  <c r="F9" i="5"/>
  <c r="G9" i="5"/>
  <c r="C9" i="5"/>
  <c r="E10" i="4"/>
  <c r="H10" i="4"/>
  <c r="D10" i="4"/>
  <c r="J10" i="4"/>
  <c r="H8" i="5"/>
  <c r="F8" i="5"/>
  <c r="G8" i="5"/>
  <c r="G9" i="4"/>
  <c r="C9" i="4"/>
  <c r="F9" i="4"/>
  <c r="I9" i="4"/>
  <c r="H7" i="5"/>
  <c r="D7" i="5"/>
  <c r="C7" i="5"/>
  <c r="D8" i="4"/>
  <c r="H8" i="4"/>
  <c r="G8" i="4"/>
  <c r="J8" i="4"/>
  <c r="F6" i="5"/>
  <c r="D6" i="5"/>
  <c r="E6" i="5"/>
  <c r="D7" i="4"/>
  <c r="F7" i="4"/>
  <c r="H7" i="4"/>
  <c r="I7" i="4"/>
  <c r="E5" i="5"/>
  <c r="G5" i="5"/>
  <c r="F5" i="5"/>
  <c r="F5" i="8"/>
  <c r="H5" i="8"/>
  <c r="J5" i="8"/>
  <c r="E5" i="8"/>
  <c r="F6" i="4"/>
  <c r="H6" i="4"/>
  <c r="E6" i="4"/>
  <c r="J6" i="4"/>
  <c r="H4" i="5"/>
  <c r="E4" i="5"/>
  <c r="C4" i="5"/>
  <c r="D4" i="8"/>
  <c r="F4" i="8"/>
  <c r="I4" i="8"/>
  <c r="E4" i="8"/>
  <c r="F5" i="4"/>
  <c r="G5" i="4"/>
  <c r="C5" i="4"/>
  <c r="I5" i="4"/>
  <c r="H3" i="5"/>
  <c r="C3" i="5"/>
  <c r="E3" i="5"/>
  <c r="G3" i="12"/>
  <c r="H3" i="12"/>
  <c r="D3" i="12"/>
  <c r="G3" i="8"/>
  <c r="H3" i="8"/>
  <c r="E3" i="8"/>
  <c r="J3" i="8"/>
  <c r="H3" i="14"/>
  <c r="G3" i="14"/>
  <c r="D3" i="14"/>
  <c r="C3" i="11"/>
  <c r="D3" i="11"/>
  <c r="F3" i="7"/>
  <c r="C3" i="7"/>
  <c r="H3" i="7"/>
  <c r="F3" i="9"/>
  <c r="C3" i="9"/>
  <c r="D3" i="9"/>
  <c r="J3" i="9"/>
  <c r="D4" i="4"/>
  <c r="I4" i="4"/>
  <c r="G4" i="4"/>
  <c r="F4" i="4"/>
  <c r="N3" i="2"/>
  <c r="N4" i="2"/>
  <c r="N5" i="2"/>
  <c r="N6" i="2"/>
  <c r="N8" i="2"/>
  <c r="N9" i="2"/>
  <c r="N10" i="2"/>
  <c r="N17" i="2"/>
  <c r="N18" i="2"/>
  <c r="N19" i="2"/>
  <c r="N20" i="2"/>
  <c r="N21" i="2"/>
  <c r="N24" i="2"/>
  <c r="N26" i="2"/>
  <c r="N28" i="2"/>
  <c r="N32" i="2"/>
  <c r="N34" i="2"/>
  <c r="N40" i="2"/>
  <c r="N41" i="2"/>
  <c r="N43" i="2"/>
  <c r="N45" i="2"/>
  <c r="N50" i="2"/>
  <c r="N52" i="2"/>
  <c r="N54" i="2"/>
  <c r="N55" i="2"/>
  <c r="N62" i="2"/>
  <c r="N65" i="2"/>
  <c r="B4" i="14"/>
  <c r="N68" i="2"/>
  <c r="N35" i="2"/>
  <c r="N37" i="2"/>
  <c r="N38" i="2"/>
  <c r="N39" i="2"/>
  <c r="N47" i="2"/>
  <c r="N57" i="2"/>
  <c r="N59" i="2"/>
  <c r="N60" i="2"/>
  <c r="N61" i="2"/>
  <c r="B5" i="14"/>
  <c r="M60" i="2" l="1"/>
  <c r="M57" i="2"/>
  <c r="M67" i="2"/>
  <c r="M66" i="2"/>
  <c r="M64" i="2"/>
  <c r="M62" i="2"/>
  <c r="M56" i="2"/>
  <c r="M55" i="2"/>
  <c r="M54" i="2"/>
  <c r="M52" i="2"/>
  <c r="M50" i="2"/>
  <c r="M49" i="2"/>
  <c r="M48" i="2"/>
  <c r="M42" i="2"/>
  <c r="M41" i="2"/>
  <c r="M40" i="2"/>
  <c r="M36" i="2"/>
  <c r="M32" i="2"/>
  <c r="M53" i="2"/>
  <c r="M47" i="2"/>
  <c r="M46" i="2"/>
  <c r="M38" i="2"/>
  <c r="M37" i="2"/>
  <c r="M22" i="2"/>
  <c r="M16" i="2"/>
  <c r="M13" i="2"/>
  <c r="M7" i="2"/>
  <c r="M31" i="2"/>
  <c r="M28" i="2"/>
  <c r="M26" i="2"/>
  <c r="M24" i="2"/>
  <c r="M19" i="2"/>
  <c r="M17" i="2"/>
  <c r="M8" i="2"/>
  <c r="M4" i="2"/>
  <c r="M3" i="2"/>
  <c r="J5" i="14"/>
  <c r="J29" i="5"/>
  <c r="J20" i="5"/>
  <c r="J19" i="5"/>
  <c r="J18" i="5"/>
  <c r="J16" i="5"/>
  <c r="J4" i="14"/>
  <c r="J30" i="5"/>
  <c r="J28" i="5"/>
  <c r="J27" i="5"/>
  <c r="J3" i="7"/>
  <c r="J24" i="5"/>
  <c r="J22" i="5"/>
  <c r="J21" i="5"/>
  <c r="J13" i="5"/>
  <c r="J11" i="5"/>
  <c r="J9" i="5"/>
  <c r="J6" i="5"/>
  <c r="J5" i="5"/>
  <c r="J4" i="5"/>
  <c r="J3" i="12"/>
  <c r="K4" i="4"/>
  <c r="L4" i="4" s="1"/>
  <c r="M4" i="4" s="1"/>
  <c r="A3" i="9"/>
  <c r="A3" i="7"/>
  <c r="A3" i="11"/>
  <c r="A3" i="5"/>
  <c r="K5" i="4"/>
  <c r="L5" i="4" s="1"/>
  <c r="M5" i="4" s="1"/>
  <c r="A5" i="4"/>
  <c r="N5" i="4"/>
  <c r="K4" i="8"/>
  <c r="A4" i="5"/>
  <c r="K7" i="4"/>
  <c r="L7" i="4" s="1"/>
  <c r="M7" i="4" s="1"/>
  <c r="A7" i="5"/>
  <c r="K9" i="4"/>
  <c r="L9" i="4" s="1"/>
  <c r="M9" i="4" s="1"/>
  <c r="A9" i="4"/>
  <c r="N9" i="4"/>
  <c r="A9" i="5"/>
  <c r="A11" i="4"/>
  <c r="N11" i="4"/>
  <c r="K12" i="4"/>
  <c r="L12" i="4" s="1"/>
  <c r="M12" i="4" s="1"/>
  <c r="A12" i="4"/>
  <c r="N12" i="4"/>
  <c r="A11" i="5"/>
  <c r="A13" i="4"/>
  <c r="N13" i="4"/>
  <c r="K14" i="4"/>
  <c r="L14" i="4" s="1"/>
  <c r="M14" i="4" s="1"/>
  <c r="A13" i="5"/>
  <c r="K15" i="4"/>
  <c r="L15" i="4" s="1"/>
  <c r="M15" i="4" s="1"/>
  <c r="A15" i="4"/>
  <c r="N15" i="4"/>
  <c r="A14" i="5"/>
  <c r="K17" i="4"/>
  <c r="K18" i="4"/>
  <c r="A17" i="5"/>
  <c r="K21" i="4"/>
  <c r="K22" i="4"/>
  <c r="A21" i="5"/>
  <c r="K24" i="4"/>
  <c r="K27" i="4"/>
  <c r="K29" i="4"/>
  <c r="J26" i="5"/>
  <c r="J12" i="5"/>
  <c r="J10" i="5"/>
  <c r="J8" i="5"/>
  <c r="J7" i="5"/>
  <c r="J3" i="14"/>
  <c r="J3" i="5"/>
  <c r="J25" i="5"/>
  <c r="J23" i="5"/>
  <c r="J17" i="5"/>
  <c r="J3" i="11"/>
  <c r="J15" i="5"/>
  <c r="J14" i="5"/>
  <c r="A4" i="4"/>
  <c r="N4" i="4"/>
  <c r="K3" i="9"/>
  <c r="A3" i="14"/>
  <c r="K3" i="8"/>
  <c r="A3" i="8"/>
  <c r="A3" i="12"/>
  <c r="A4" i="8"/>
  <c r="K6" i="4"/>
  <c r="L6" i="4" s="1"/>
  <c r="M6" i="4" s="1"/>
  <c r="A6" i="4"/>
  <c r="N6" i="4"/>
  <c r="K5" i="8"/>
  <c r="A5" i="8"/>
  <c r="A5" i="5"/>
  <c r="A7" i="4"/>
  <c r="N7" i="4"/>
  <c r="A6" i="5"/>
  <c r="K8" i="4"/>
  <c r="L8" i="4" s="1"/>
  <c r="M8" i="4" s="1"/>
  <c r="A8" i="4"/>
  <c r="N8" i="4"/>
  <c r="A8" i="5"/>
  <c r="K10" i="4"/>
  <c r="L10" i="4" s="1"/>
  <c r="M10" i="4" s="1"/>
  <c r="A10" i="4"/>
  <c r="N10" i="4"/>
  <c r="K11" i="4"/>
  <c r="L11" i="4" s="1"/>
  <c r="M11" i="4" s="1"/>
  <c r="A10" i="5"/>
  <c r="K13" i="4"/>
  <c r="L13" i="4" s="1"/>
  <c r="M13" i="4" s="1"/>
  <c r="A12" i="5"/>
  <c r="A14" i="4"/>
  <c r="N14" i="4"/>
  <c r="K16" i="4"/>
  <c r="A16" i="4"/>
  <c r="N16" i="4"/>
  <c r="A15" i="5"/>
  <c r="A17" i="4"/>
  <c r="N17" i="4"/>
  <c r="A16" i="5"/>
  <c r="A18" i="4"/>
  <c r="N18" i="4"/>
  <c r="K19" i="4"/>
  <c r="N19" i="4"/>
  <c r="A19" i="4"/>
  <c r="A18" i="5"/>
  <c r="K20" i="4"/>
  <c r="A20" i="4"/>
  <c r="N20" i="4"/>
  <c r="A19" i="5"/>
  <c r="N21" i="4"/>
  <c r="A21" i="4"/>
  <c r="A20" i="5"/>
  <c r="A22" i="4"/>
  <c r="N22" i="4"/>
  <c r="K23" i="4"/>
  <c r="N23" i="4"/>
  <c r="A23" i="4"/>
  <c r="A22" i="5"/>
  <c r="N24" i="4"/>
  <c r="A24" i="4"/>
  <c r="A23" i="5"/>
  <c r="K25" i="4"/>
  <c r="A25" i="4"/>
  <c r="N25" i="4"/>
  <c r="A24" i="5"/>
  <c r="K26" i="4"/>
  <c r="N26" i="4"/>
  <c r="A26" i="4"/>
  <c r="A25" i="5"/>
  <c r="N27" i="4"/>
  <c r="A27" i="4"/>
  <c r="A26" i="5"/>
  <c r="K28" i="4"/>
  <c r="N28" i="4"/>
  <c r="A28" i="4"/>
  <c r="A27" i="5"/>
  <c r="N29" i="4"/>
  <c r="A29" i="4"/>
  <c r="A28" i="5"/>
  <c r="K30" i="4"/>
  <c r="A30" i="4"/>
  <c r="N30" i="4"/>
  <c r="A29" i="5"/>
  <c r="K31" i="4"/>
  <c r="A31" i="4"/>
  <c r="N31" i="4"/>
  <c r="A30" i="5"/>
  <c r="K32" i="4"/>
  <c r="N32" i="4"/>
  <c r="A32" i="4"/>
  <c r="O60" i="2"/>
  <c r="P60" i="2" s="1"/>
  <c r="Q60" i="2" s="1"/>
  <c r="O57" i="2"/>
  <c r="P57" i="2" s="1"/>
  <c r="Q57" i="2" s="1"/>
  <c r="O53" i="2"/>
  <c r="P53" i="2" s="1"/>
  <c r="Q53" i="2" s="1"/>
  <c r="O47" i="2"/>
  <c r="P47" i="2" s="1"/>
  <c r="Q47" i="2" s="1"/>
  <c r="O46" i="2"/>
  <c r="P46" i="2" s="1"/>
  <c r="Q46" i="2" s="1"/>
  <c r="O38" i="2"/>
  <c r="P38" i="2" s="1"/>
  <c r="Q38" i="2" s="1"/>
  <c r="O37" i="2"/>
  <c r="M35" i="2"/>
  <c r="M27" i="2"/>
  <c r="M25" i="2"/>
  <c r="O22" i="2"/>
  <c r="P22" i="2" s="1"/>
  <c r="Q22" i="2" s="1"/>
  <c r="O16" i="2"/>
  <c r="P16" i="2" s="1"/>
  <c r="Q16" i="2" s="1"/>
  <c r="O13" i="2"/>
  <c r="P13" i="2" s="1"/>
  <c r="Q13" i="2" s="1"/>
  <c r="O7" i="2"/>
  <c r="P7" i="2" s="1"/>
  <c r="Q7" i="2" s="1"/>
  <c r="O67" i="2"/>
  <c r="P67" i="2" s="1"/>
  <c r="Q67" i="2" s="1"/>
  <c r="O66" i="2"/>
  <c r="P66" i="2" s="1"/>
  <c r="Q66" i="2" s="1"/>
  <c r="O64" i="2"/>
  <c r="P64" i="2" s="1"/>
  <c r="Q64" i="2" s="1"/>
  <c r="O62" i="2"/>
  <c r="P62" i="2" s="1"/>
  <c r="Q62" i="2" s="1"/>
  <c r="O56" i="2"/>
  <c r="P56" i="2" s="1"/>
  <c r="Q56" i="2" s="1"/>
  <c r="O55" i="2"/>
  <c r="P55" i="2" s="1"/>
  <c r="Q55" i="2" s="1"/>
  <c r="O54" i="2"/>
  <c r="O52" i="2"/>
  <c r="P52" i="2" s="1"/>
  <c r="Q52" i="2" s="1"/>
  <c r="O50" i="2"/>
  <c r="P50" i="2" s="1"/>
  <c r="Q50" i="2" s="1"/>
  <c r="O49" i="2"/>
  <c r="P49" i="2" s="1"/>
  <c r="Q49" i="2" s="1"/>
  <c r="O48" i="2"/>
  <c r="P48" i="2" s="1"/>
  <c r="Q48" i="2" s="1"/>
  <c r="O42" i="2"/>
  <c r="O41" i="2"/>
  <c r="P41" i="2" s="1"/>
  <c r="Q41" i="2" s="1"/>
  <c r="O40" i="2"/>
  <c r="O36" i="2"/>
  <c r="O32" i="2"/>
  <c r="P32" i="2" s="1"/>
  <c r="Q32" i="2" s="1"/>
  <c r="O31" i="2"/>
  <c r="P31" i="2" s="1"/>
  <c r="Q31" i="2" s="1"/>
  <c r="O28" i="2"/>
  <c r="O26" i="2"/>
  <c r="P26" i="2" s="1"/>
  <c r="Q26" i="2" s="1"/>
  <c r="O24" i="2"/>
  <c r="P24" i="2" s="1"/>
  <c r="Q24" i="2" s="1"/>
  <c r="O19" i="2"/>
  <c r="P19" i="2" s="1"/>
  <c r="Q19" i="2" s="1"/>
  <c r="O17" i="2"/>
  <c r="P17" i="2" s="1"/>
  <c r="Q17" i="2" s="1"/>
  <c r="O8" i="2"/>
  <c r="P8" i="2" s="1"/>
  <c r="Q8" i="2" s="1"/>
  <c r="O4" i="2"/>
  <c r="P4" i="2" s="1"/>
  <c r="Q4" i="2" s="1"/>
  <c r="O3" i="2"/>
  <c r="P3" i="2" s="1"/>
  <c r="Q3" i="2" s="1"/>
  <c r="I3" i="14"/>
  <c r="I3" i="5"/>
  <c r="I4" i="5"/>
  <c r="K4" i="5" s="1"/>
  <c r="L4" i="5" s="1"/>
  <c r="M4" i="5" s="1"/>
  <c r="I7" i="5"/>
  <c r="I9" i="5"/>
  <c r="K9" i="5" s="1"/>
  <c r="I11" i="5"/>
  <c r="K11" i="5" s="1"/>
  <c r="I13" i="5"/>
  <c r="K13" i="5" s="1"/>
  <c r="I17" i="5"/>
  <c r="K17" i="5" s="1"/>
  <c r="I18" i="5"/>
  <c r="K18" i="5" s="1"/>
  <c r="I19" i="5"/>
  <c r="K19" i="5" s="1"/>
  <c r="I22" i="5"/>
  <c r="K22" i="5" s="1"/>
  <c r="I26" i="5"/>
  <c r="I27" i="5"/>
  <c r="K27" i="5" s="1"/>
  <c r="I30" i="5"/>
  <c r="K30" i="5" s="1"/>
  <c r="M69" i="2"/>
  <c r="O69" i="2" s="1"/>
  <c r="P69" i="2" s="1"/>
  <c r="Q69" i="2" s="1"/>
  <c r="M63" i="2"/>
  <c r="O63" i="2" s="1"/>
  <c r="P63" i="2" s="1"/>
  <c r="Q63" i="2" s="1"/>
  <c r="M61" i="2"/>
  <c r="M59" i="2"/>
  <c r="O59" i="2" s="1"/>
  <c r="P59" i="2" s="1"/>
  <c r="Q59" i="2" s="1"/>
  <c r="M58" i="2"/>
  <c r="O58" i="2" s="1"/>
  <c r="P58" i="2" s="1"/>
  <c r="Q58" i="2" s="1"/>
  <c r="M51" i="2"/>
  <c r="O51" i="2" s="1"/>
  <c r="P51" i="2" s="1"/>
  <c r="Q51" i="2" s="1"/>
  <c r="M39" i="2"/>
  <c r="M23" i="2"/>
  <c r="M15" i="2"/>
  <c r="O15" i="2" s="1"/>
  <c r="P15" i="2" s="1"/>
  <c r="Q15" i="2" s="1"/>
  <c r="M14" i="2"/>
  <c r="O14" i="2" s="1"/>
  <c r="P14" i="2" s="1"/>
  <c r="Q14" i="2" s="1"/>
  <c r="M12" i="2"/>
  <c r="O12" i="2" s="1"/>
  <c r="P12" i="2" s="1"/>
  <c r="Q12" i="2" s="1"/>
  <c r="M11" i="2"/>
  <c r="O11" i="2" s="1"/>
  <c r="P11" i="2" s="1"/>
  <c r="Q11" i="2" s="1"/>
  <c r="M68" i="2"/>
  <c r="O68" i="2" s="1"/>
  <c r="M65" i="2"/>
  <c r="O65" i="2" s="1"/>
  <c r="P65" i="2" s="1"/>
  <c r="Q65" i="2" s="1"/>
  <c r="M45" i="2"/>
  <c r="O45" i="2" s="1"/>
  <c r="P45" i="2" s="1"/>
  <c r="Q45" i="2" s="1"/>
  <c r="M44" i="2"/>
  <c r="M43" i="2"/>
  <c r="M34" i="2"/>
  <c r="O34" i="2" s="1"/>
  <c r="P34" i="2" s="1"/>
  <c r="Q34" i="2" s="1"/>
  <c r="M33" i="2"/>
  <c r="M30" i="2"/>
  <c r="M29" i="2"/>
  <c r="M21" i="2"/>
  <c r="O21" i="2" s="1"/>
  <c r="P21" i="2" s="1"/>
  <c r="Q21" i="2" s="1"/>
  <c r="M20" i="2"/>
  <c r="O20" i="2" s="1"/>
  <c r="P20" i="2" s="1"/>
  <c r="Q20" i="2" s="1"/>
  <c r="M18" i="2"/>
  <c r="O18" i="2" s="1"/>
  <c r="P18" i="2" s="1"/>
  <c r="Q18" i="2" s="1"/>
  <c r="M10" i="2"/>
  <c r="M9" i="2"/>
  <c r="M6" i="2"/>
  <c r="M5" i="2"/>
  <c r="O5" i="2" s="1"/>
  <c r="P5" i="2" s="1"/>
  <c r="Q5" i="2" s="1"/>
  <c r="I3" i="7"/>
  <c r="K3" i="7" s="1"/>
  <c r="I21" i="5"/>
  <c r="K21" i="5" s="1"/>
  <c r="I23" i="5"/>
  <c r="K23" i="5" s="1"/>
  <c r="I28" i="5"/>
  <c r="F5" i="14"/>
  <c r="H5" i="14"/>
  <c r="G5" i="14"/>
  <c r="D4" i="14"/>
  <c r="C4" i="14"/>
  <c r="E4" i="14"/>
  <c r="D5" i="14"/>
  <c r="C5" i="14"/>
  <c r="E5" i="14"/>
  <c r="G4" i="14"/>
  <c r="H4" i="14"/>
  <c r="F4" i="14"/>
  <c r="K3" i="14" l="1"/>
  <c r="K28" i="5"/>
  <c r="K26" i="5"/>
  <c r="K7" i="5"/>
  <c r="K3" i="5"/>
  <c r="A5" i="14"/>
  <c r="A4" i="14"/>
  <c r="L28" i="5"/>
  <c r="M28" i="5" s="1"/>
  <c r="L21" i="5"/>
  <c r="O9" i="2"/>
  <c r="P9" i="2" s="1"/>
  <c r="Q9" i="2" s="1"/>
  <c r="I5" i="5"/>
  <c r="O30" i="2"/>
  <c r="P30" i="2" s="1"/>
  <c r="Q30" i="2" s="1"/>
  <c r="I15" i="5"/>
  <c r="O44" i="2"/>
  <c r="I25" i="5"/>
  <c r="O23" i="2"/>
  <c r="P23" i="2" s="1"/>
  <c r="Q23" i="2" s="1"/>
  <c r="I8" i="5"/>
  <c r="L30" i="5"/>
  <c r="L26" i="5"/>
  <c r="M26" i="5" s="1"/>
  <c r="L19" i="5"/>
  <c r="M19" i="5" s="1"/>
  <c r="L17" i="5"/>
  <c r="M17" i="5" s="1"/>
  <c r="L11" i="5"/>
  <c r="M11" i="5" s="1"/>
  <c r="P36" i="2"/>
  <c r="Q36" i="2" s="1"/>
  <c r="P54" i="2"/>
  <c r="Q54" i="2" s="1"/>
  <c r="O27" i="2"/>
  <c r="P27" i="2" s="1"/>
  <c r="Q27" i="2" s="1"/>
  <c r="I12" i="5"/>
  <c r="P37" i="2"/>
  <c r="Q37" i="2" s="1"/>
  <c r="L28" i="4"/>
  <c r="M28" i="4" s="1"/>
  <c r="L23" i="4"/>
  <c r="M23" i="4" s="1"/>
  <c r="L16" i="4"/>
  <c r="M16" i="4" s="1"/>
  <c r="L3" i="8"/>
  <c r="M3" i="8" s="1"/>
  <c r="L3" i="9"/>
  <c r="M3" i="9" s="1"/>
  <c r="L29" i="4"/>
  <c r="M29" i="4" s="1"/>
  <c r="L24" i="4"/>
  <c r="L22" i="4"/>
  <c r="L17" i="4"/>
  <c r="L4" i="8"/>
  <c r="I5" i="14"/>
  <c r="L23" i="5"/>
  <c r="L3" i="7"/>
  <c r="O6" i="2"/>
  <c r="P6" i="2" s="1"/>
  <c r="Q6" i="2" s="1"/>
  <c r="I3" i="12"/>
  <c r="O10" i="2"/>
  <c r="P10" i="2" s="1"/>
  <c r="Q10" i="2" s="1"/>
  <c r="I6" i="5"/>
  <c r="O29" i="2"/>
  <c r="P29" i="2" s="1"/>
  <c r="Q29" i="2" s="1"/>
  <c r="I14" i="5"/>
  <c r="O33" i="2"/>
  <c r="I3" i="11"/>
  <c r="O43" i="2"/>
  <c r="I24" i="5"/>
  <c r="P68" i="2"/>
  <c r="Q68" i="2" s="1"/>
  <c r="O39" i="2"/>
  <c r="P39" i="2" s="1"/>
  <c r="Q39" i="2" s="1"/>
  <c r="I20" i="5"/>
  <c r="O61" i="2"/>
  <c r="P61" i="2" s="1"/>
  <c r="Q61" i="2" s="1"/>
  <c r="I29" i="5"/>
  <c r="L27" i="5"/>
  <c r="L22" i="5"/>
  <c r="M22" i="5" s="1"/>
  <c r="L18" i="5"/>
  <c r="L13" i="5"/>
  <c r="L9" i="5"/>
  <c r="P28" i="2"/>
  <c r="Q28" i="2" s="1"/>
  <c r="P40" i="2"/>
  <c r="Q40" i="2" s="1"/>
  <c r="P42" i="2"/>
  <c r="Q42" i="2" s="1"/>
  <c r="O25" i="2"/>
  <c r="P25" i="2" s="1"/>
  <c r="Q25" i="2" s="1"/>
  <c r="I10" i="5"/>
  <c r="O35" i="2"/>
  <c r="P35" i="2" s="1"/>
  <c r="Q35" i="2" s="1"/>
  <c r="I16" i="5"/>
  <c r="L32" i="4"/>
  <c r="L31" i="4"/>
  <c r="L30" i="4"/>
  <c r="L26" i="4"/>
  <c r="L25" i="4"/>
  <c r="M25" i="4" s="1"/>
  <c r="L20" i="4"/>
  <c r="L19" i="4"/>
  <c r="L5" i="8"/>
  <c r="L27" i="4"/>
  <c r="L21" i="4"/>
  <c r="M21" i="4" s="1"/>
  <c r="L18" i="4"/>
  <c r="M18" i="4" s="1"/>
  <c r="I4" i="14"/>
  <c r="L3" i="14" l="1"/>
  <c r="M27" i="4"/>
  <c r="M20" i="4"/>
  <c r="M30" i="4"/>
  <c r="M32" i="4"/>
  <c r="M9" i="5"/>
  <c r="M18" i="5"/>
  <c r="K29" i="5"/>
  <c r="K20" i="5"/>
  <c r="K24" i="5"/>
  <c r="K3" i="11"/>
  <c r="K14" i="5"/>
  <c r="K6" i="5"/>
  <c r="K3" i="12"/>
  <c r="M3" i="7"/>
  <c r="K5" i="14"/>
  <c r="M30" i="5"/>
  <c r="K4" i="14"/>
  <c r="M5" i="8"/>
  <c r="M19" i="4"/>
  <c r="M26" i="4"/>
  <c r="M31" i="4"/>
  <c r="K16" i="5"/>
  <c r="K10" i="5"/>
  <c r="M13" i="5"/>
  <c r="M27" i="5"/>
  <c r="M23" i="5"/>
  <c r="M4" i="8"/>
  <c r="M17" i="4"/>
  <c r="M22" i="4"/>
  <c r="M24" i="4"/>
  <c r="K12" i="5"/>
  <c r="K8" i="5"/>
  <c r="K25" i="5"/>
  <c r="K15" i="5"/>
  <c r="K5" i="5"/>
  <c r="M21" i="5"/>
  <c r="L3" i="5"/>
  <c r="L7" i="5"/>
  <c r="L4" i="14"/>
  <c r="M4" i="14" s="1"/>
  <c r="P43" i="2"/>
  <c r="Q43" i="2" s="1"/>
  <c r="P33" i="2"/>
  <c r="Q33" i="2" s="1"/>
  <c r="L12" i="5"/>
  <c r="L25" i="5"/>
  <c r="M25" i="5" s="1"/>
  <c r="L15" i="5"/>
  <c r="M15" i="5" s="1"/>
  <c r="L16" i="5"/>
  <c r="M16" i="5" s="1"/>
  <c r="L10" i="5"/>
  <c r="M10" i="5" s="1"/>
  <c r="L29" i="5"/>
  <c r="M29" i="5" s="1"/>
  <c r="L24" i="5"/>
  <c r="M24" i="5" s="1"/>
  <c r="L3" i="11"/>
  <c r="M3" i="11" s="1"/>
  <c r="L14" i="5"/>
  <c r="M14" i="5" s="1"/>
  <c r="L3" i="12"/>
  <c r="L5" i="14"/>
  <c r="P44" i="2"/>
  <c r="Q44" i="2" s="1"/>
  <c r="M3" i="14" l="1"/>
  <c r="M12" i="5"/>
  <c r="M5" i="14"/>
  <c r="M3" i="12"/>
  <c r="M7" i="5"/>
  <c r="L8" i="5"/>
  <c r="L6" i="5"/>
  <c r="L20" i="5"/>
  <c r="M3" i="5"/>
  <c r="L5" i="5"/>
  <c r="M5" i="5" l="1"/>
  <c r="M6" i="5"/>
  <c r="M20" i="5"/>
  <c r="M8" i="5"/>
</calcChain>
</file>

<file path=xl/sharedStrings.xml><?xml version="1.0" encoding="utf-8"?>
<sst xmlns="http://schemas.openxmlformats.org/spreadsheetml/2006/main" count="1418" uniqueCount="589">
  <si>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</si>
  <si>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</si>
  <si>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</si>
  <si>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</si>
  <si>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</si>
  <si>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</si>
  <si>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</si>
  <si>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</si>
  <si>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</si>
  <si>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</si>
  <si>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</si>
  <si>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</si>
  <si>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</si>
  <si>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</si>
  <si>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</si>
  <si>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</si>
  <si>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</si>
  <si>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</si>
  <si>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</si>
  <si>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</si>
  <si>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</si>
  <si>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</si>
  <si>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</si>
  <si>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</si>
  <si>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</si>
  <si>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</si>
  <si>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</si>
  <si>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</si>
  <si>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</si>
  <si>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</si>
  <si>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</si>
  <si>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</si>
  <si>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</si>
  <si>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</si>
  <si>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</si>
  <si>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</si>
  <si>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</si>
  <si>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</si>
  <si>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</si>
  <si>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</si>
  <si>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</si>
  <si>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</si>
  <si>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</si>
  <si>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</si>
  <si>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</si>
  <si>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</si>
  <si>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</si>
  <si>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</si>
  <si>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</si>
  <si>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</si>
  <si>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</si>
  <si>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</si>
  <si>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</si>
  <si>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</si>
  <si>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</si>
  <si>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</si>
  <si>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</si>
  <si>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</si>
  <si>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</si>
  <si>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</si>
  <si>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</si>
  <si>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</si>
  <si>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</si>
  <si>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</si>
  <si>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</si>
  <si>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</si>
  <si>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</si>
  <si>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</si>
  <si>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</si>
  <si>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</si>
  <si>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</si>
  <si>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</si>
  <si>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</si>
  <si>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</si>
  <si>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</si>
  <si>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</si>
  <si>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</si>
  <si>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</si>
  <si>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</si>
  <si>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</si>
  <si>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</si>
  <si>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</si>
  <si>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</si>
  <si>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</si>
  <si>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</si>
  <si>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</si>
  <si>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</si>
  <si>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</si>
  <si>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</si>
  <si>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</si>
  <si>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</si>
  <si>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</si>
  <si>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</si>
  <si>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</si>
  <si>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</si>
  <si>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</si>
  <si>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</si>
  <si>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</si>
  <si>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</si>
  <si>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</si>
  <si>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</si>
  <si>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</si>
  <si>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</si>
  <si>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</si>
  <si>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</si>
  <si>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</si>
  <si>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</si>
  <si>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</si>
  <si>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</si>
  <si>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</si>
  <si>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</si>
  <si>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</si>
  <si>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</si>
  <si>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</si>
  <si>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</si>
  <si>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</si>
  <si>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</si>
  <si>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</si>
  <si>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</si>
  <si>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</si>
  <si>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</si>
  <si>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</si>
  <si>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</si>
  <si>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</si>
  <si>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</si>
  <si>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</si>
  <si>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</si>
  <si>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</si>
  <si>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</si>
  <si>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</si>
  <si>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</si>
  <si>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</si>
  <si>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</si>
  <si>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</si>
  <si>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</si>
  <si>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969 LSN</t>
  </si>
  <si>
    <t>JUL047/23</t>
  </si>
  <si>
    <t>GEL TIZO SAVEX TG 396-D</t>
  </si>
  <si>
    <t>144 LSN</t>
  </si>
  <si>
    <t>SURYA PRATAMA</t>
  </si>
  <si>
    <t>23/XI/486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</si>
  <si>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</si>
  <si>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</si>
  <si>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</si>
  <si>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</si>
  <si>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</si>
  <si>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</si>
  <si>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</si>
  <si>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</si>
  <si>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</si>
  <si>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</si>
  <si>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</si>
  <si>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</si>
  <si>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</si>
  <si>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</si>
  <si>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</si>
  <si>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</si>
  <si>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</si>
  <si>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</si>
  <si>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</si>
  <si>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</si>
  <si>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</si>
  <si>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</si>
  <si>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</si>
  <si>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</si>
  <si>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</si>
  <si>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</si>
  <si>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</si>
  <si>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</si>
  <si>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</si>
  <si>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</si>
  <si>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</si>
  <si>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</si>
  <si>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</si>
  <si>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</si>
  <si>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</si>
  <si>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</si>
  <si>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</si>
  <si>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</si>
  <si>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</si>
  <si>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</si>
  <si>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</si>
  <si>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</si>
  <si>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</si>
  <si>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</si>
  <si>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</si>
  <si>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</si>
  <si>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</si>
  <si>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</si>
  <si>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</si>
  <si>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</si>
  <si>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</si>
  <si>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</si>
  <si>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</si>
  <si>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</si>
  <si>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</si>
  <si>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</si>
  <si>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</si>
  <si>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</si>
  <si>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</si>
  <si>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</si>
  <si>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</si>
  <si>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</si>
  <si>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</si>
  <si>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</si>
  <si>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</si>
  <si>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</si>
  <si>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</si>
  <si>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</si>
  <si>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</si>
  <si>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</si>
  <si>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</si>
  <si>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</si>
  <si>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</si>
  <si>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</si>
  <si>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</si>
  <si>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</si>
  <si>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</si>
  <si>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</si>
  <si>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</si>
  <si>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</si>
  <si>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</si>
  <si>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</si>
  <si>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</si>
  <si>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</si>
  <si>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</si>
  <si>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</si>
  <si>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</si>
  <si>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</si>
  <si>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</si>
  <si>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</si>
  <si>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</si>
  <si>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</si>
  <si>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</si>
  <si>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</si>
  <si>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</si>
  <si>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</si>
  <si>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</si>
  <si>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</si>
  <si>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</si>
  <si>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</si>
  <si>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</si>
  <si>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</si>
  <si>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</si>
  <si>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</si>
  <si>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</si>
  <si>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</si>
  <si>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</si>
  <si>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</si>
  <si>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</si>
  <si>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</si>
  <si>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</si>
  <si>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</si>
  <si>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</si>
  <si>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</si>
  <si>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</si>
  <si>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</si>
  <si>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</si>
  <si>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</si>
  <si>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</si>
  <si>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</si>
  <si>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</si>
  <si>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</si>
  <si>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</si>
  <si>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</si>
  <si>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</si>
  <si>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</si>
  <si>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</si>
  <si>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</si>
  <si>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</si>
  <si>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</si>
  <si>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</si>
  <si>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</si>
  <si>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</si>
  <si>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</si>
  <si>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</si>
  <si>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</si>
  <si>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</si>
  <si>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</si>
  <si>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</si>
  <si>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</si>
  <si>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</si>
  <si>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</si>
  <si>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</si>
  <si>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</si>
  <si>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</si>
  <si>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</si>
  <si>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</si>
  <si>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</si>
  <si>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</si>
  <si>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</si>
  <si>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</si>
  <si>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</si>
  <si>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</si>
  <si>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</si>
  <si>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</si>
  <si>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</si>
  <si>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</si>
  <si>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</si>
  <si>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</si>
  <si>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</si>
  <si>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</si>
  <si>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</si>
  <si>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</si>
  <si>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</si>
  <si>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</si>
  <si>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</si>
  <si>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</si>
  <si>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</si>
  <si>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</si>
  <si>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</si>
  <si>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</si>
  <si>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</si>
  <si>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</si>
  <si>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</si>
  <si>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</si>
  <si>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</si>
  <si>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</si>
  <si>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</si>
  <si>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</si>
  <si>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</si>
  <si>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</si>
  <si>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</si>
  <si>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</si>
  <si>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</si>
  <si>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</si>
  <si>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</si>
  <si>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</si>
  <si>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</si>
  <si>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</si>
  <si>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</si>
  <si>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</si>
  <si>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</si>
  <si>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</si>
  <si>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</si>
  <si>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</si>
  <si>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</si>
  <si>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</si>
  <si>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</si>
  <si>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</si>
  <si>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</si>
  <si>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</si>
  <si>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</si>
  <si>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</si>
  <si>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</si>
  <si>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</si>
  <si>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</si>
  <si>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</si>
  <si>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</si>
  <si>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</si>
  <si>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</si>
  <si>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</si>
  <si>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</si>
  <si>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</si>
  <si>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</si>
  <si>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</si>
  <si>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</si>
  <si>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</si>
  <si>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</si>
  <si>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</si>
  <si>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</si>
  <si>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</si>
  <si>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</si>
  <si>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</si>
  <si>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</si>
  <si>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</si>
  <si>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</si>
  <si>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</si>
  <si>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</si>
  <si>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</si>
  <si>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</si>
  <si>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</si>
  <si>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</si>
  <si>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</si>
  <si>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</si>
  <si>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</si>
  <si>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</si>
  <si>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</si>
  <si>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</si>
  <si>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</si>
  <si>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</si>
  <si>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</si>
  <si>
    <t>SNS</t>
  </si>
  <si>
    <t>VM0191B1</t>
  </si>
  <si>
    <t>LETTER TRAY BESI MICROTOP MT118-4/4SSN</t>
  </si>
  <si>
    <t>W66.23</t>
  </si>
  <si>
    <t>SA231221809</t>
  </si>
  <si>
    <t>LABEL STICKER PAPER LSP 09 JK</t>
  </si>
  <si>
    <t>50 PAK</t>
  </si>
  <si>
    <t>SA231221640</t>
  </si>
  <si>
    <t>CORRECTION FLUID CF-P236 JK</t>
  </si>
  <si>
    <t>BALLPEN BP 349-12 VOKUS TRANS BLACK JK</t>
  </si>
  <si>
    <t>CORRECTION FLUID JK 01 JK</t>
  </si>
  <si>
    <t>PENCIL CASE PC 0719 PSTL 35 BLUE JK</t>
  </si>
  <si>
    <t>PENCIL CASE PC 0719 PSTL 35 GREEN JK</t>
  </si>
  <si>
    <t>PENCIL CASE PC 0719 PSTL 35 PINK JK</t>
  </si>
  <si>
    <t>PENCIL CASE PC 0719 PSTL 35 PURPLE JK</t>
  </si>
  <si>
    <t>LABEL LB 2RL 1 BARIS JK</t>
  </si>
  <si>
    <t>TAPE CUTTER TC-113 JK</t>
  </si>
  <si>
    <t>TAPE CUTTER TD-09 N JK</t>
  </si>
  <si>
    <t>SA231221566</t>
  </si>
  <si>
    <t>PENCIL LEAD PL 10 2.0 2B JK</t>
  </si>
  <si>
    <t>PENCIL LEAD PL 16 2.0 JK</t>
  </si>
  <si>
    <t>ERASER 526 B20 JK</t>
  </si>
  <si>
    <t>ERASER ER B20 BL JK</t>
  </si>
  <si>
    <t>GLUE GL R 50 JK</t>
  </si>
  <si>
    <t>LOOSE LEAF B5 7026 100 S JK</t>
  </si>
  <si>
    <t>GLUE STICK GS-104 ANIMAL KINGDOM JK</t>
  </si>
  <si>
    <t>SA231221565</t>
  </si>
  <si>
    <t>BALLPEN BP 249 LINO BLACK JK</t>
  </si>
  <si>
    <t>BALLPEN BP 250 BRIZ BLACK JK</t>
  </si>
  <si>
    <t>STAPLER HD 10 CL JK</t>
  </si>
  <si>
    <t xml:space="preserve">SCISSORS SC-828 JK </t>
  </si>
  <si>
    <t>SCISSORS SC-848 JK</t>
  </si>
  <si>
    <t xml:space="preserve">TRIGONAL CLIP NO3 JK </t>
  </si>
  <si>
    <t>CUTTER BLADE L 150 AM L JK</t>
  </si>
  <si>
    <t>PERMANENT MARKER PM 34 BLACK JK BONUS</t>
  </si>
  <si>
    <t>SA231221304</t>
  </si>
  <si>
    <t>SA231221478</t>
  </si>
  <si>
    <t>SA231221669</t>
  </si>
  <si>
    <t>SCISSORS SC 838 JK</t>
  </si>
  <si>
    <t>BRUSH BR-1  JK</t>
  </si>
  <si>
    <t>SA231221568</t>
  </si>
  <si>
    <t>SA231221641</t>
  </si>
  <si>
    <t>CRAYON PUTAR TWCR 12S JK</t>
  </si>
  <si>
    <t>GLOBAL</t>
  </si>
  <si>
    <t>BALON LOVE BL 1022</t>
  </si>
  <si>
    <t>BALON BUNGA BL 1006</t>
  </si>
  <si>
    <t>BALON BL 100128</t>
  </si>
  <si>
    <t>BALON HATI BL 10023</t>
  </si>
  <si>
    <t>BALON BL 1022</t>
  </si>
  <si>
    <t>BALON BL 100178</t>
  </si>
  <si>
    <t>SURAT JALAN</t>
  </si>
  <si>
    <t>HN122023159</t>
  </si>
  <si>
    <t>LILIN SHINTOENG 12 BTG</t>
  </si>
  <si>
    <t>23120703</t>
  </si>
  <si>
    <t>KENKO 12 COLOR PENCIL CP 12 F CLASSIC</t>
  </si>
  <si>
    <t>KENKO CUTTER BLADE L 150 18 MM</t>
  </si>
  <si>
    <t>KENKO GEL PEN K1 BLACK</t>
  </si>
  <si>
    <t>KENKO GEL PEN K1 BLUE</t>
  </si>
  <si>
    <t>KENKO SCISSOR SC 838 N</t>
  </si>
  <si>
    <t>TITI 12 COLOR OIL PASTEL TI P 12 S</t>
  </si>
  <si>
    <t>KENKO CORRECTION TAPE CT 902 12 M  X 5 MM</t>
  </si>
  <si>
    <t>KENKO CUTTER BLADE A 100 9 MM</t>
  </si>
  <si>
    <t>23120716</t>
  </si>
  <si>
    <t>23120905</t>
  </si>
  <si>
    <t>KENKO BINDER CLIP NO.105</t>
  </si>
  <si>
    <t>KENKO CORRECTION TAPE CT 902 P 12 M X 5 MM</t>
  </si>
  <si>
    <t>KENKO CORRECTION TAPE CT 902 CL 12 M X 5 MM</t>
  </si>
  <si>
    <t>KENKO STAPLER HD-10 PASTEL COLOR</t>
  </si>
  <si>
    <t>KENKO TRIGONAL CLIP NO.1</t>
  </si>
  <si>
    <t>KENKO TAPE DISPENSER TD-323 1" &amp; 3" CORE</t>
  </si>
  <si>
    <t>23121057</t>
  </si>
  <si>
    <t>KENKO CORRECTION FLUID KE 108</t>
  </si>
  <si>
    <t xml:space="preserve">KENKO SCISSOR SC 848 N </t>
  </si>
  <si>
    <t>KENKO STAPLES NO1210 23/10</t>
  </si>
  <si>
    <t>KENKO BINDER CLIP NO. 260</t>
  </si>
  <si>
    <t>23121235</t>
  </si>
  <si>
    <t>KENKO BINDER CLIP NO.260</t>
  </si>
  <si>
    <t>KENKO TRIGONAL CLIP NO.3</t>
  </si>
  <si>
    <t>23121192</t>
  </si>
  <si>
    <t>KENKO STAPLES NO 10-1M</t>
  </si>
  <si>
    <t>23121185</t>
  </si>
  <si>
    <t>KENKO CORRECTION TAPE CT 902 12 M X 5 MM</t>
  </si>
  <si>
    <t>KENKO STAPLER HD-10 NEW COLOR</t>
  </si>
  <si>
    <t xml:space="preserve">KENKO STAPLER HD-10 PASTEL COLOR </t>
  </si>
  <si>
    <t>KENKO TAPE DISPENSER TD 323 1" &amp; 3" CORE</t>
  </si>
  <si>
    <t>SN23122992</t>
  </si>
  <si>
    <t>CALCULATOR JOYKO CC-23</t>
  </si>
  <si>
    <t>CALCULATOR JOYKO CC-23 CO BLACK</t>
  </si>
  <si>
    <t>CALCULATOR JOYKO CC-23 CO GREEN</t>
  </si>
  <si>
    <t>CALCULATOR JOYKO CC-23 CO ORANGE</t>
  </si>
  <si>
    <t>CALCULATOR JOYKO CC-25</t>
  </si>
  <si>
    <t>CALCULATOR JOYKO CC-25 CO BLUE</t>
  </si>
  <si>
    <t>CALCULATOR JOYKO CC-25 CO PINK</t>
  </si>
  <si>
    <t>SA231221731</t>
  </si>
  <si>
    <t>CORRECTION TAPE CT 522 JK</t>
  </si>
  <si>
    <t>SHARPENER B-88 JK</t>
  </si>
  <si>
    <t>DRM</t>
  </si>
  <si>
    <t>SHARPENER B-129 JK</t>
  </si>
  <si>
    <t>STAPLER HD-10CL JK</t>
  </si>
  <si>
    <t>CRAYON PUTAR TWCR-12 S JK</t>
  </si>
  <si>
    <t>SA231221786</t>
  </si>
  <si>
    <t>OIL PASTEL OP 18 S PP CASE SEAW ORLDJK</t>
  </si>
  <si>
    <t>SA231221756</t>
  </si>
  <si>
    <t>STAPLER HD-50 JK</t>
  </si>
  <si>
    <t>GLUE GL R50 JK</t>
  </si>
  <si>
    <t>PENCIL LEAD PL-05 2B JK</t>
  </si>
  <si>
    <t>TAPE CUTTER TD-103 JK</t>
  </si>
  <si>
    <t>SA231221567</t>
  </si>
  <si>
    <t>KENKO LAMINATING FILM LF100-2234 FC @ 100 pcs</t>
  </si>
  <si>
    <t>MEK PENSIL 2.0 TIZO TM 030 F</t>
  </si>
  <si>
    <t>MEK PENSIL 2.0 TIZO TM 030-H</t>
  </si>
  <si>
    <t>GEL PEN ZUI XUA 1020 (HITAM)</t>
  </si>
  <si>
    <t>BALLPEN GEL TF-1191 BODY 0.3MM WR HIGHTECH</t>
  </si>
  <si>
    <t xml:space="preserve">LILIN ANGKA SHINTOENG </t>
  </si>
  <si>
    <t>KOJIKO K/ABSEN D/MRH</t>
  </si>
  <si>
    <t>BALON BL-1009</t>
  </si>
  <si>
    <t>BALON BL-10092</t>
  </si>
  <si>
    <t>PERMANENT MARKER PM-34 (BLACK) JK (BONUS)</t>
  </si>
  <si>
    <t>23121423</t>
  </si>
  <si>
    <t>KENKO CLOTH TAPE 48MM RED CORE SQ BLACK</t>
  </si>
  <si>
    <t>23121453</t>
  </si>
  <si>
    <t>23121436</t>
  </si>
  <si>
    <t>KENKO GEL PEN HI TECH H 0.28MM BLACK</t>
  </si>
  <si>
    <t>KENKO GEL PEN HI TECH H 0.28MM BLUE</t>
  </si>
  <si>
    <t>23121486</t>
  </si>
  <si>
    <t>KENKO PEN ULIR PU 3 BLACK</t>
  </si>
  <si>
    <t>23121647</t>
  </si>
  <si>
    <t>KENKO PUNCH NO.40 XL</t>
  </si>
  <si>
    <t>SA231221921</t>
  </si>
  <si>
    <t>WATER COLOR WAC 6ML 12SCREW TYPE JK</t>
  </si>
  <si>
    <t>OIL PASTEL OP 12 CR ROUND JK</t>
  </si>
  <si>
    <t xml:space="preserve">WHITEBOARD MARKER WM 65 BLACK JK BONUS </t>
  </si>
  <si>
    <t>SA231221965</t>
  </si>
  <si>
    <t>2312099</t>
  </si>
  <si>
    <t>GUNINDO FM COKLAT</t>
  </si>
  <si>
    <t>GUNINDO FL COKLAT</t>
  </si>
  <si>
    <t>HB 75 GUNINDO</t>
  </si>
  <si>
    <t>OSS GUNINDO</t>
  </si>
  <si>
    <t xml:space="preserve">OLL GUNINDO </t>
  </si>
  <si>
    <t>OIL PASTEL OP 12 CHC COMPACT JK</t>
  </si>
  <si>
    <t>23/XII/248</t>
  </si>
  <si>
    <t>WATER COLORS PAINT V-TRO</t>
  </si>
  <si>
    <t>JUL357/23</t>
  </si>
  <si>
    <t>GEL PEN TIZO 1.0 TG 340</t>
  </si>
  <si>
    <t>GEL TIZO FANCY TG 30541-F</t>
  </si>
  <si>
    <t>GEL TIZO FANCY TG 30600-F</t>
  </si>
  <si>
    <t>GEL TIZO FANCY TG 30734-F</t>
  </si>
  <si>
    <t>GEL TIZO FANCY S-3 TG 30801-F</t>
  </si>
  <si>
    <t>GEL TIZO FANCY S-3 TG 30802-F</t>
  </si>
  <si>
    <t>GEL TIZO FANCY TG 30900-F</t>
  </si>
  <si>
    <t>GEL TIZO FANCY TG 31035-F</t>
  </si>
  <si>
    <t>GEL TIZO FANCY TG 31037-F</t>
  </si>
  <si>
    <t>GEL TIZO FANCY TG 31762-F</t>
  </si>
  <si>
    <t>GEL TIZO FANCY TG 31763-F</t>
  </si>
  <si>
    <t>GEL TIZO FANCY TG 31810-F</t>
  </si>
  <si>
    <t>GEL TIZO FANCY S-3 TG 31830-F</t>
  </si>
  <si>
    <t>GEL TIZO FANCY S-3 TG 31831-F</t>
  </si>
  <si>
    <t>GEL TIZO FANCY TG 31590-F</t>
  </si>
  <si>
    <t>TAS CABIN ELPIDA EP-CB007</t>
  </si>
  <si>
    <t>1 PCS</t>
  </si>
  <si>
    <t>PMJP</t>
  </si>
  <si>
    <t>16 LSN</t>
  </si>
  <si>
    <t>CELENGAN S</t>
  </si>
  <si>
    <t>CELENGAN L</t>
  </si>
  <si>
    <t>10 LSN</t>
  </si>
  <si>
    <t>CELENGAN XL</t>
  </si>
  <si>
    <t>6 LSN</t>
  </si>
  <si>
    <t>SINAR PACMAN INDONESIA</t>
  </si>
  <si>
    <t>INV-23/12/0238</t>
  </si>
  <si>
    <t>WATER COLOUR + KUAS PACMAN</t>
  </si>
  <si>
    <t>120 BOX</t>
  </si>
  <si>
    <t>1223</t>
  </si>
  <si>
    <t>HN122023182</t>
  </si>
  <si>
    <t>NO.0/ 2/ 3/ 4/ 5/ 6/ 8/ 9 @10LSN/ CTN</t>
  </si>
  <si>
    <t>NO,1/ 7 @15 LSN/ CTN</t>
  </si>
  <si>
    <t>HN122023186</t>
  </si>
  <si>
    <t>MALAM SHINTOENG K 1W POLOS</t>
  </si>
  <si>
    <t>MALAM SHINTOENG K 6-12 W</t>
  </si>
  <si>
    <t>MALAM SHINTOENG TG 1W POLOS</t>
  </si>
  <si>
    <t>MALAM SHINTOENG TG 6-12W</t>
  </si>
  <si>
    <t>MALAM SHINTOENG B 1W POLOS</t>
  </si>
  <si>
    <t>MALAM SHINTOENG B 6-12W</t>
  </si>
  <si>
    <t>TITI 12 COLOR TWIST CRAYON TI CP 12 T</t>
  </si>
  <si>
    <t>KENKO GEL PEN WINJELLER KE 600 BLACK</t>
  </si>
  <si>
    <t>23121806</t>
  </si>
  <si>
    <t>KENKO TAPE DISPENSER TD 323 1 " &amp; 3 " CORE</t>
  </si>
  <si>
    <t>23121739</t>
  </si>
  <si>
    <t>KENKO STAPLER HD-10D</t>
  </si>
  <si>
    <t>BALLPEN BP 349-12 VOKUS TRANS BLACK JK BONUS</t>
  </si>
  <si>
    <t>highlightertysp25120000</t>
  </si>
  <si>
    <t>highlighterholdertysp2825000</t>
  </si>
  <si>
    <t>23/XII/290</t>
  </si>
  <si>
    <t>TALI NAME TAG (HITAM)</t>
  </si>
  <si>
    <t>5000 PCS</t>
  </si>
  <si>
    <t>2312122</t>
  </si>
  <si>
    <t xml:space="preserve">OSS GUNINDO </t>
  </si>
  <si>
    <t>60 LSN</t>
  </si>
  <si>
    <t>DOC INFINITY</t>
  </si>
  <si>
    <t>MERAH</t>
  </si>
  <si>
    <t>KENKO STAPLER HD-10</t>
  </si>
  <si>
    <t>23121982</t>
  </si>
  <si>
    <t>HMP/089</t>
  </si>
  <si>
    <t>HMP/084</t>
  </si>
  <si>
    <t>DOC BAG A5-7517/ 8517</t>
  </si>
  <si>
    <t>DOC BAG 1935/ 1937 MIX (A4)</t>
  </si>
  <si>
    <t>BALLPEN TF-1190 HTM 0.3MM HIGHTECH</t>
  </si>
  <si>
    <t>HMP/085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</si>
</sst>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745" headerRowDxfId="290" dataDxfId="289" totalsRowDxfId="288">
  <autoFilter ref="A2:AY745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745"/>
  <sheetViews>
    <sheetView tabSelected="1" topLeftCell="C80" zoomScale="70" zoomScaleNormal="70" zoomScaleSheetLayoutView="55" workbookViewId="0">
      <selection activeCell="L80" sqref="L80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1767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1632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1606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1510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1701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1748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1494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1744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1752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1494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1510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1511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1816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1609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1606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1611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1591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1445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381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2110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2129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491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2120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492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135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2090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136</v>
      </c>
      <c r="I30" s="37"/>
      <c r="J30" s="39">
        <v>45264</v>
      </c>
      <c r="K30" s="37"/>
      <c r="L30" s="37" t="s">
        <v>137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138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1221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139</v>
      </c>
      <c r="G32" s="37" t="s">
        <v>127</v>
      </c>
      <c r="H32" s="47" t="s">
        <v>140</v>
      </c>
      <c r="I32" s="37"/>
      <c r="J32" s="39">
        <v>45260</v>
      </c>
      <c r="K32" s="37"/>
      <c r="L32" s="37" t="s">
        <v>493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141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PRATAMAUNTANA23/XI/48645260gelpenzuixua1020hitam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1115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142</v>
      </c>
      <c r="G34" s="37" t="s">
        <v>127</v>
      </c>
      <c r="H34" s="47" t="s">
        <v>143</v>
      </c>
      <c r="I34" s="37"/>
      <c r="J34" s="39">
        <v>45258</v>
      </c>
      <c r="K34" s="37"/>
      <c r="L34" s="37" t="s">
        <v>144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145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2193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146</v>
      </c>
      <c r="G36" s="37" t="s">
        <v>127</v>
      </c>
      <c r="H36" s="47" t="s">
        <v>147</v>
      </c>
      <c r="I36" s="37"/>
      <c r="J36" s="39">
        <v>45268</v>
      </c>
      <c r="K36" s="37"/>
      <c r="L36" s="37" t="s">
        <v>148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854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149</v>
      </c>
      <c r="I38" s="37"/>
      <c r="J38" s="39">
        <v>45267</v>
      </c>
      <c r="K38" s="37"/>
      <c r="L38" s="37" t="s">
        <v>157</v>
      </c>
      <c r="M38" s="40">
        <v>10</v>
      </c>
      <c r="N38" s="38">
        <v>600</v>
      </c>
      <c r="O38" s="37" t="s">
        <v>150</v>
      </c>
      <c r="P38" s="41">
        <v>8500</v>
      </c>
      <c r="Q38" s="42"/>
      <c r="R38" s="48" t="s">
        <v>151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2887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154</v>
      </c>
      <c r="M39" s="40">
        <v>3</v>
      </c>
      <c r="N39" s="38">
        <v>288</v>
      </c>
      <c r="O39" s="37" t="s">
        <v>152</v>
      </c>
      <c r="P39" s="41">
        <v>15000</v>
      </c>
      <c r="Q39" s="42"/>
      <c r="R39" s="48" t="s">
        <v>153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383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216</v>
      </c>
      <c r="M40" s="40">
        <v>3</v>
      </c>
      <c r="N40" s="38">
        <v>288</v>
      </c>
      <c r="O40" s="37" t="s">
        <v>152</v>
      </c>
      <c r="P40" s="41">
        <v>15000</v>
      </c>
      <c r="Q40" s="42"/>
      <c r="R40" s="48" t="s">
        <v>153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384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155</v>
      </c>
      <c r="M41" s="40">
        <v>3</v>
      </c>
      <c r="N41" s="38">
        <v>288</v>
      </c>
      <c r="O41" s="37" t="s">
        <v>152</v>
      </c>
      <c r="P41" s="41">
        <v>15000</v>
      </c>
      <c r="Q41" s="42"/>
      <c r="R41" s="48" t="s">
        <v>153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385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156</v>
      </c>
      <c r="M42" s="40">
        <v>3</v>
      </c>
      <c r="N42" s="38">
        <v>288</v>
      </c>
      <c r="O42" s="37" t="s">
        <v>152</v>
      </c>
      <c r="P42" s="41">
        <v>15000</v>
      </c>
      <c r="Q42" s="42"/>
      <c r="R42" s="48" t="s">
        <v>153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386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158</v>
      </c>
      <c r="I44" s="37"/>
      <c r="J44" s="39">
        <v>45261</v>
      </c>
      <c r="K44" s="37"/>
      <c r="L44" s="37" t="s">
        <v>159</v>
      </c>
      <c r="M44" s="40">
        <v>3</v>
      </c>
      <c r="N44" s="38">
        <v>36</v>
      </c>
      <c r="O44" s="37" t="s">
        <v>160</v>
      </c>
      <c r="P44" s="41">
        <v>120000</v>
      </c>
      <c r="Q44" s="42"/>
      <c r="R44" s="48" t="s">
        <v>161</v>
      </c>
      <c r="S44" s="49"/>
      <c r="T44" s="44"/>
      <c r="U44" s="44"/>
      <c r="V44" s="50"/>
      <c r="W44" s="45" t="s">
        <v>163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69" t="s">
        <v>571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1414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159</v>
      </c>
      <c r="M45" s="40"/>
      <c r="N45" s="38">
        <v>2</v>
      </c>
      <c r="O45" s="37" t="s">
        <v>160</v>
      </c>
      <c r="P45" s="41">
        <v>120000</v>
      </c>
      <c r="Q45" s="42"/>
      <c r="R45" s="48" t="s">
        <v>161</v>
      </c>
      <c r="S45" s="49"/>
      <c r="T45" s="44"/>
      <c r="U45" s="44"/>
      <c r="V45" s="50"/>
      <c r="W45" s="45" t="s">
        <v>163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69" t="s">
        <v>571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1414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162</v>
      </c>
      <c r="M46" s="40">
        <v>3</v>
      </c>
      <c r="N46" s="38">
        <v>36</v>
      </c>
      <c r="O46" s="37" t="s">
        <v>160</v>
      </c>
      <c r="P46" s="41">
        <v>25000</v>
      </c>
      <c r="Q46" s="42"/>
      <c r="R46" s="48" t="s">
        <v>161</v>
      </c>
      <c r="S46" s="49"/>
      <c r="T46" s="44"/>
      <c r="U46" s="44"/>
      <c r="V46" s="50"/>
      <c r="W46" s="45" t="s">
        <v>163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69" t="s">
        <v>572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1412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162</v>
      </c>
      <c r="M47" s="40"/>
      <c r="N47" s="38">
        <v>2</v>
      </c>
      <c r="O47" s="37" t="s">
        <v>160</v>
      </c>
      <c r="P47" s="41">
        <v>25000</v>
      </c>
      <c r="Q47" s="42"/>
      <c r="R47" s="48" t="s">
        <v>161</v>
      </c>
      <c r="S47" s="49"/>
      <c r="T47" s="44"/>
      <c r="U47" s="44"/>
      <c r="V47" s="50">
        <v>950100</v>
      </c>
      <c r="W47" s="45" t="s">
        <v>163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69" t="s">
        <v>572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1412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164</v>
      </c>
      <c r="G49" s="37" t="s">
        <v>127</v>
      </c>
      <c r="H49" s="47" t="s">
        <v>165</v>
      </c>
      <c r="I49" s="37"/>
      <c r="J49" s="39">
        <v>45266</v>
      </c>
      <c r="K49" s="37"/>
      <c r="L49" s="37" t="s">
        <v>166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167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505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168</v>
      </c>
      <c r="G51" s="37" t="s">
        <v>127</v>
      </c>
      <c r="H51" s="47" t="s">
        <v>169</v>
      </c>
      <c r="I51" s="37"/>
      <c r="J51" s="39">
        <v>45265</v>
      </c>
      <c r="K51" s="37"/>
      <c r="L51" s="37" t="s">
        <v>170</v>
      </c>
      <c r="M51" s="40">
        <v>30</v>
      </c>
      <c r="N51" s="38">
        <v>360</v>
      </c>
      <c r="O51" s="37" t="s">
        <v>152</v>
      </c>
      <c r="P51" s="41">
        <v>74500</v>
      </c>
      <c r="Q51" s="42"/>
      <c r="R51" s="48" t="s">
        <v>161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2659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171</v>
      </c>
      <c r="I53" s="37"/>
      <c r="J53" s="39">
        <v>45261</v>
      </c>
      <c r="K53" s="37"/>
      <c r="L53" s="37" t="s">
        <v>177</v>
      </c>
      <c r="M53" s="40">
        <v>5</v>
      </c>
      <c r="N53" s="38">
        <v>2880</v>
      </c>
      <c r="O53" s="37" t="s">
        <v>152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1327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172</v>
      </c>
      <c r="M54" s="40">
        <v>1</v>
      </c>
      <c r="N54" s="38">
        <v>1000</v>
      </c>
      <c r="O54" s="37" t="s">
        <v>173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1865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174</v>
      </c>
      <c r="M55" s="40">
        <v>1</v>
      </c>
      <c r="N55" s="38">
        <v>50</v>
      </c>
      <c r="O55" s="37" t="s">
        <v>175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963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176</v>
      </c>
      <c r="M56" s="40">
        <v>1</v>
      </c>
      <c r="N56" s="38">
        <v>240</v>
      </c>
      <c r="O56" s="37" t="s">
        <v>160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478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178</v>
      </c>
      <c r="M57" s="40">
        <v>1</v>
      </c>
      <c r="N57" s="38">
        <v>144</v>
      </c>
      <c r="O57" s="37" t="s">
        <v>160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2186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179</v>
      </c>
      <c r="M58" s="40"/>
      <c r="N58" s="38">
        <v>24</v>
      </c>
      <c r="O58" s="37" t="s">
        <v>152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3083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180</v>
      </c>
      <c r="I60" s="37"/>
      <c r="J60" s="39">
        <v>45264</v>
      </c>
      <c r="K60" s="37"/>
      <c r="L60" s="37" t="s">
        <v>181</v>
      </c>
      <c r="M60" s="40">
        <v>2</v>
      </c>
      <c r="N60" s="38">
        <v>10</v>
      </c>
      <c r="O60" s="37" t="s">
        <v>182</v>
      </c>
      <c r="P60" s="41">
        <v>177000</v>
      </c>
      <c r="Q60" s="42"/>
      <c r="R60" s="48" t="s">
        <v>183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305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184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131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185</v>
      </c>
      <c r="I63" s="37"/>
      <c r="J63" s="39">
        <v>45265</v>
      </c>
      <c r="K63" s="37"/>
      <c r="L63" s="37" t="s">
        <v>186</v>
      </c>
      <c r="M63" s="40">
        <v>4</v>
      </c>
      <c r="N63" s="38">
        <v>120</v>
      </c>
      <c r="O63" s="37" t="s">
        <v>182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2495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187</v>
      </c>
      <c r="I65" s="37"/>
      <c r="J65" s="39">
        <v>45262</v>
      </c>
      <c r="K65" s="37"/>
      <c r="L65" s="37" t="s">
        <v>188</v>
      </c>
      <c r="M65" s="40">
        <v>3</v>
      </c>
      <c r="N65" s="38">
        <v>432</v>
      </c>
      <c r="O65" s="37" t="s">
        <v>160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690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189</v>
      </c>
      <c r="M66" s="40">
        <v>2</v>
      </c>
      <c r="N66" s="38">
        <v>100</v>
      </c>
      <c r="O66" s="37" t="s">
        <v>175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961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190</v>
      </c>
      <c r="M67" s="40">
        <v>2</v>
      </c>
      <c r="N67" s="38">
        <v>100</v>
      </c>
      <c r="O67" s="37" t="s">
        <v>175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963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191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2492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192</v>
      </c>
      <c r="I70" s="37"/>
      <c r="J70" s="39">
        <v>45266</v>
      </c>
      <c r="K70" s="37"/>
      <c r="L70" s="37" t="s">
        <v>193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2990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194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2991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195</v>
      </c>
      <c r="I73" s="37"/>
      <c r="J73" s="39">
        <v>45267</v>
      </c>
      <c r="K73" s="37"/>
      <c r="L73" s="37" t="s">
        <v>196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1569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197</v>
      </c>
      <c r="I75" s="37"/>
      <c r="J75" s="39">
        <v>45262</v>
      </c>
      <c r="K75" s="37"/>
      <c r="L75" s="37" t="s">
        <v>198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1766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1767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199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1769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200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1697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201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1512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202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1721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203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1731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1606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204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1673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205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1671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206</v>
      </c>
      <c r="I86" s="37"/>
      <c r="J86" s="39">
        <v>45262</v>
      </c>
      <c r="K86" s="39"/>
      <c r="L86" s="37" t="s">
        <v>207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1807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208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2987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209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2989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194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2991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210</v>
      </c>
      <c r="I91" s="37"/>
      <c r="J91" s="39">
        <v>45264</v>
      </c>
      <c r="K91" s="37"/>
      <c r="L91" s="37" t="s">
        <v>196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1569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211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1797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212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1731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1758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 LSN)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1623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1792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RAP_1112_085-1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588</v>
      </c>
      <c r="I98" s="37"/>
      <c r="J98" s="39">
        <v>45267</v>
      </c>
      <c r="K98" s="37"/>
      <c r="L98" s="37" t="s">
        <v>494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MOROHMP/08545267ballpengeltf1191body03mmwrhightech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151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217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Row],[CONCAT4]],[2]!RAW[CONCAT_H],0),FALSE))</f>
        <v>#REF!</v>
      </c>
      <c r="AS100" s="38">
        <f>IF(NOTA[[#This Row],[CONCAT1]]="","",MATCH(NOTA[[#This Row],[CONCAT1]],[3]!db[NB NOTA_C],0))</f>
        <v>1611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218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1673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1671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219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1672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220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1641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221</v>
      </c>
      <c r="I106" s="37"/>
      <c r="J106" s="39">
        <v>45268</v>
      </c>
      <c r="K106" s="37">
        <v>0</v>
      </c>
      <c r="L106" s="37" t="s">
        <v>222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1557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223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1655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224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1570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220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1641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225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1808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226</v>
      </c>
      <c r="I112" s="37"/>
      <c r="J112" s="39">
        <v>45268</v>
      </c>
      <c r="K112" s="37"/>
      <c r="L112" s="37" t="s">
        <v>224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1570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227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1492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228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1487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223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1655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229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1653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230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1622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1816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214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1623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231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1624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1511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232</v>
      </c>
      <c r="I123" s="37"/>
      <c r="J123" s="39">
        <v>45269</v>
      </c>
      <c r="K123" s="37">
        <v>2</v>
      </c>
      <c r="L123" s="37" t="s">
        <v>233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2990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234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1611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235</v>
      </c>
      <c r="I127" s="37"/>
      <c r="J127" s="39">
        <v>45266</v>
      </c>
      <c r="K127" s="37">
        <v>0</v>
      </c>
      <c r="L127" s="37" t="s">
        <v>178</v>
      </c>
      <c r="M127" s="40">
        <v>15</v>
      </c>
      <c r="N127" s="38">
        <v>2160</v>
      </c>
      <c r="O127" s="37" t="s">
        <v>160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2186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236</v>
      </c>
      <c r="M128" s="40">
        <v>15</v>
      </c>
      <c r="N128" s="38">
        <v>1080</v>
      </c>
      <c r="O128" s="37" t="s">
        <v>160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2187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238</v>
      </c>
      <c r="M129" s="40">
        <v>15</v>
      </c>
      <c r="N129" s="38">
        <v>720</v>
      </c>
      <c r="O129" s="37" t="s">
        <v>160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2188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237</v>
      </c>
      <c r="M130" s="40">
        <v>5</v>
      </c>
      <c r="N130" s="38">
        <v>180</v>
      </c>
      <c r="O130" s="37" t="s">
        <v>160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2189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240</v>
      </c>
      <c r="M131" s="40">
        <v>2</v>
      </c>
      <c r="N131" s="38">
        <v>48</v>
      </c>
      <c r="O131" s="37" t="s">
        <v>160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2190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239</v>
      </c>
      <c r="M132" s="40">
        <v>5</v>
      </c>
      <c r="N132" s="38">
        <v>120</v>
      </c>
      <c r="O132" s="37" t="s">
        <v>160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2191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241</v>
      </c>
      <c r="M133" s="40"/>
      <c r="N133" s="38">
        <v>792</v>
      </c>
      <c r="O133" s="37" t="s">
        <v>152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3083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242</v>
      </c>
      <c r="M134" s="40">
        <v>1</v>
      </c>
      <c r="N134" s="38">
        <v>576</v>
      </c>
      <c r="O134" s="37" t="s">
        <v>152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3084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48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whiteboardmarkerwm65bluejkbonus48lsnartomoro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243</v>
      </c>
      <c r="I136" s="37"/>
      <c r="J136" s="39">
        <v>45266</v>
      </c>
      <c r="K136" s="37"/>
      <c r="L136" s="37" t="s">
        <v>244</v>
      </c>
      <c r="M136" s="40">
        <v>5</v>
      </c>
      <c r="N136" s="38">
        <v>720</v>
      </c>
      <c r="O136" s="37" t="s">
        <v>160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Row],[CONCAT4]],[2]!RAW[CONCAT_H],0),FALSE))</f>
        <v>#REF!</v>
      </c>
      <c r="AS136" s="38">
        <f>IF(NOTA[[#This Row],[CONCAT1]]="","",MATCH(NOTA[[#This Row],[CONCAT1]],[3]!db[NB NOTA_C],0))</f>
        <v>771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245</v>
      </c>
      <c r="M137" s="40">
        <v>3</v>
      </c>
      <c r="N137" s="38">
        <v>432</v>
      </c>
      <c r="O137" s="37" t="s">
        <v>160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770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246</v>
      </c>
      <c r="M138" s="40"/>
      <c r="N138" s="38">
        <v>192</v>
      </c>
      <c r="O138" s="37" t="s">
        <v>152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3083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247</v>
      </c>
      <c r="G140" s="37" t="s">
        <v>127</v>
      </c>
      <c r="H140" s="47" t="s">
        <v>248</v>
      </c>
      <c r="I140" s="37"/>
      <c r="J140" s="39">
        <v>45269</v>
      </c>
      <c r="K140" s="37"/>
      <c r="L140" s="37" t="s">
        <v>249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862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247</v>
      </c>
      <c r="G142" s="37" t="s">
        <v>127</v>
      </c>
      <c r="H142" s="47" t="s">
        <v>250</v>
      </c>
      <c r="I142" s="37"/>
      <c r="J142" s="39">
        <v>45269</v>
      </c>
      <c r="K142" s="37"/>
      <c r="L142" s="37" t="s">
        <v>148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251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Row],[CONCAT4]],[2]!RAW[CONCAT_H],0),FALSE))</f>
        <v>#REF!</v>
      </c>
      <c r="AS142" s="38">
        <f>IF(NOTA[[#This Row],[CONCAT1]]="","",MATCH(NOTA[[#This Row],[CONCAT1]],[3]!db[NB NOTA_C],0))</f>
        <v>854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CTN]],INDEX([3]!db[QTY/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249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251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862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252</v>
      </c>
      <c r="G145" s="37" t="s">
        <v>127</v>
      </c>
      <c r="H145" s="47" t="s">
        <v>253</v>
      </c>
      <c r="I145" s="37"/>
      <c r="J145" s="39">
        <v>45265</v>
      </c>
      <c r="K145" s="37">
        <v>9</v>
      </c>
      <c r="L145" s="37" t="s">
        <v>254</v>
      </c>
      <c r="M145" s="40">
        <v>25</v>
      </c>
      <c r="N145" s="38">
        <v>500</v>
      </c>
      <c r="O145" s="37" t="s">
        <v>182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Row],[CONCAT4]],[2]!RAW[CONCAT_H],0),FALSE))</f>
        <v>#REF!</v>
      </c>
      <c r="AS145" s="38">
        <f>IF(NOTA[[#This Row],[CONCAT1]]="","",MATCH(NOTA[[#This Row],[CONCAT1]],[3]!db[NB NOTA_C],0))</f>
        <v>3087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255</v>
      </c>
      <c r="M146" s="40">
        <v>5</v>
      </c>
      <c r="N146" s="38">
        <v>100</v>
      </c>
      <c r="O146" s="37" t="s">
        <v>182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3088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256</v>
      </c>
      <c r="G148" s="37" t="s">
        <v>127</v>
      </c>
      <c r="H148" s="47" t="s">
        <v>257</v>
      </c>
      <c r="I148" s="37"/>
      <c r="J148" s="39">
        <v>45264</v>
      </c>
      <c r="K148" s="37"/>
      <c r="L148" s="37" t="s">
        <v>258</v>
      </c>
      <c r="M148" s="40">
        <v>3</v>
      </c>
      <c r="N148" s="38">
        <v>36</v>
      </c>
      <c r="O148" s="37" t="s">
        <v>152</v>
      </c>
      <c r="P148" s="41">
        <v>66000</v>
      </c>
      <c r="Q148" s="42"/>
      <c r="R148" s="48" t="s">
        <v>259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Row],[CONCAT4]],[2]!RAW[CONCAT_H],0),FALSE))</f>
        <v>#REF!</v>
      </c>
      <c r="AS148" s="38">
        <f>IF(NOTA[[#This Row],[CONCAT1]]="","",MATCH(NOTA[[#This Row],[CONCAT1]],[3]!db[NB NOTA_C],0))</f>
        <v>915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CTN]],INDEX([3]!db[QTY/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260</v>
      </c>
      <c r="M149" s="40">
        <v>3</v>
      </c>
      <c r="N149" s="38">
        <v>24</v>
      </c>
      <c r="O149" s="37" t="s">
        <v>152</v>
      </c>
      <c r="P149" s="41">
        <v>82500</v>
      </c>
      <c r="Q149" s="42"/>
      <c r="R149" s="48" t="s">
        <v>262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917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CTN]],INDEX([3]!db[QTY/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261</v>
      </c>
      <c r="M150" s="40">
        <v>3</v>
      </c>
      <c r="N150" s="38">
        <v>18</v>
      </c>
      <c r="O150" s="37" t="s">
        <v>152</v>
      </c>
      <c r="P150" s="41">
        <v>150000</v>
      </c>
      <c r="Q150" s="42"/>
      <c r="R150" s="48" t="s">
        <v>263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918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256</v>
      </c>
      <c r="G152" s="37" t="s">
        <v>127</v>
      </c>
      <c r="H152" s="47" t="s">
        <v>264</v>
      </c>
      <c r="I152" s="37"/>
      <c r="J152" s="39">
        <v>45232</v>
      </c>
      <c r="K152" s="37"/>
      <c r="L152" s="37" t="s">
        <v>265</v>
      </c>
      <c r="M152" s="40">
        <v>6</v>
      </c>
      <c r="N152" s="38">
        <v>720</v>
      </c>
      <c r="O152" s="37" t="s">
        <v>175</v>
      </c>
      <c r="P152" s="41">
        <v>10200</v>
      </c>
      <c r="Q152" s="42"/>
      <c r="R152" s="48" t="s">
        <v>266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2643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267</v>
      </c>
      <c r="M153" s="40">
        <v>1</v>
      </c>
      <c r="N153" s="38">
        <v>120</v>
      </c>
      <c r="O153" s="37" t="s">
        <v>175</v>
      </c>
      <c r="P153" s="41"/>
      <c r="Q153" s="42"/>
      <c r="R153" s="48" t="s">
        <v>266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2650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268</v>
      </c>
      <c r="M154" s="40">
        <v>1</v>
      </c>
      <c r="N154" s="38">
        <v>120</v>
      </c>
      <c r="O154" s="37" t="s">
        <v>175</v>
      </c>
      <c r="P154" s="41"/>
      <c r="Q154" s="42"/>
      <c r="R154" s="48" t="s">
        <v>266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2651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269</v>
      </c>
      <c r="M155" s="40">
        <v>10</v>
      </c>
      <c r="N155" s="38">
        <v>1200</v>
      </c>
      <c r="O155" s="37" t="s">
        <v>175</v>
      </c>
      <c r="P155" s="41">
        <v>10200</v>
      </c>
      <c r="Q155" s="42"/>
      <c r="R155" s="48" t="s">
        <v>266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2654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269</v>
      </c>
      <c r="M156" s="40">
        <v>1</v>
      </c>
      <c r="N156" s="38">
        <v>120</v>
      </c>
      <c r="O156" s="37" t="s">
        <v>175</v>
      </c>
      <c r="P156" s="41"/>
      <c r="Q156" s="42"/>
      <c r="R156" s="48" t="s">
        <v>266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2654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270</v>
      </c>
      <c r="G158" s="37"/>
      <c r="H158" s="47" t="s">
        <v>271</v>
      </c>
      <c r="I158" s="37"/>
      <c r="J158" s="39">
        <v>45266</v>
      </c>
      <c r="K158" s="37"/>
      <c r="L158" s="37" t="s">
        <v>272</v>
      </c>
      <c r="M158" s="40">
        <v>10</v>
      </c>
      <c r="N158" s="38">
        <v>1200</v>
      </c>
      <c r="O158" s="37" t="s">
        <v>152</v>
      </c>
      <c r="P158" s="41">
        <v>6500</v>
      </c>
      <c r="Q158" s="42"/>
      <c r="R158" s="48" t="s">
        <v>273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1333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274</v>
      </c>
      <c r="G160" s="37" t="s">
        <v>127</v>
      </c>
      <c r="H160" s="47" t="s">
        <v>275</v>
      </c>
      <c r="I160" s="39"/>
      <c r="J160" s="39">
        <v>45257</v>
      </c>
      <c r="K160" s="37"/>
      <c r="L160" s="37" t="s">
        <v>276</v>
      </c>
      <c r="M160" s="40"/>
      <c r="N160" s="38">
        <v>15</v>
      </c>
      <c r="O160" s="37" t="s">
        <v>152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2976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1 CTN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tempelankaca81ctnuntana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277</v>
      </c>
      <c r="M161" s="40"/>
      <c r="N161" s="38">
        <v>5</v>
      </c>
      <c r="O161" s="37" t="s">
        <v>152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2329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 CTN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pckartonkk8d083ssn1ctnuntana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45273</v>
      </c>
      <c r="F163" s="37" t="s">
        <v>24</v>
      </c>
      <c r="G163" s="37" t="s">
        <v>23</v>
      </c>
      <c r="H163" s="47" t="s">
        <v>278</v>
      </c>
      <c r="I163" s="37"/>
      <c r="J163" s="39">
        <v>45267</v>
      </c>
      <c r="K163" s="37"/>
      <c r="L163" s="37" t="s">
        <v>184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138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45273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131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279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280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45273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716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281</v>
      </c>
      <c r="M165" s="40">
        <v>3</v>
      </c>
      <c r="N165" s="38">
        <v>108</v>
      </c>
      <c r="O165" s="37" t="s">
        <v>282</v>
      </c>
      <c r="P165" s="41">
        <v>41400</v>
      </c>
      <c r="Q165" s="42"/>
      <c r="R165" s="48" t="s">
        <v>280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45273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715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>
        <v>1</v>
      </c>
      <c r="N166" s="38">
        <v>100</v>
      </c>
      <c r="O166" s="37" t="s">
        <v>284</v>
      </c>
      <c r="P166" s="41">
        <v>7600</v>
      </c>
      <c r="Q166" s="42"/>
      <c r="R166" s="48" t="s">
        <v>285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45273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2306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180</v>
      </c>
      <c r="O167" s="37" t="s">
        <v>152</v>
      </c>
      <c r="P167" s="41">
        <v>3700</v>
      </c>
      <c r="Q167" s="42"/>
      <c r="R167" s="48" t="s">
        <v>286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45273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1405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288</v>
      </c>
      <c r="M168" s="40"/>
      <c r="N168" s="38">
        <v>180</v>
      </c>
      <c r="O168" s="37" t="s">
        <v>152</v>
      </c>
      <c r="P168" s="41">
        <v>3700</v>
      </c>
      <c r="Q168" s="42"/>
      <c r="R168" s="48" t="s">
        <v>286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45273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1407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289</v>
      </c>
      <c r="M169" s="40"/>
      <c r="N169" s="38">
        <v>120</v>
      </c>
      <c r="O169" s="37" t="s">
        <v>152</v>
      </c>
      <c r="P169" s="41">
        <v>3700</v>
      </c>
      <c r="Q169" s="42"/>
      <c r="R169" s="48" t="s">
        <v>286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45273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1408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290</v>
      </c>
      <c r="M170" s="40"/>
      <c r="N170" s="38">
        <v>120</v>
      </c>
      <c r="O170" s="37" t="s">
        <v>152</v>
      </c>
      <c r="P170" s="41">
        <v>3700</v>
      </c>
      <c r="Q170" s="42"/>
      <c r="R170" s="48" t="s">
        <v>286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45273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1409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291</v>
      </c>
      <c r="M171" s="40"/>
      <c r="N171" s="38">
        <v>120</v>
      </c>
      <c r="O171" s="37" t="s">
        <v>152</v>
      </c>
      <c r="P171" s="41">
        <v>3700</v>
      </c>
      <c r="Q171" s="42"/>
      <c r="R171" s="48" t="s">
        <v>286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45273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1410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292</v>
      </c>
      <c r="I173" s="37"/>
      <c r="J173" s="39">
        <v>45267</v>
      </c>
      <c r="K173" s="37"/>
      <c r="L173" s="37" t="s">
        <v>293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294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45273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793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295</v>
      </c>
      <c r="M174" s="40"/>
      <c r="N174" s="38">
        <v>72</v>
      </c>
      <c r="O174" s="37" t="s">
        <v>130</v>
      </c>
      <c r="P174" s="41"/>
      <c r="Q174" s="42"/>
      <c r="R174" s="48" t="s">
        <v>296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45273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785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298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297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45273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723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184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138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45273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131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299</v>
      </c>
      <c r="I178" s="37"/>
      <c r="J178" s="39">
        <v>45268</v>
      </c>
      <c r="K178" s="37"/>
      <c r="L178" s="37" t="s">
        <v>300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138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45273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127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301</v>
      </c>
      <c r="M179" s="40">
        <v>2</v>
      </c>
      <c r="N179" s="38">
        <v>384</v>
      </c>
      <c r="O179" s="37" t="s">
        <v>284</v>
      </c>
      <c r="P179" s="41">
        <v>3600</v>
      </c>
      <c r="Q179" s="42"/>
      <c r="R179" s="48" t="s">
        <v>302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45273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>
        <f>IF(NOTA[[#This Row],[CONCAT1]]="","",MATCH(NOTA[[#This Row],[CONCAT1]],[3]!db[NB NOTA_C],0))</f>
        <v>1952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303</v>
      </c>
      <c r="M180" s="40">
        <v>2</v>
      </c>
      <c r="N180" s="38">
        <v>192</v>
      </c>
      <c r="O180" s="37" t="s">
        <v>284</v>
      </c>
      <c r="P180" s="41">
        <v>7000</v>
      </c>
      <c r="Q180" s="42"/>
      <c r="R180" s="48" t="s">
        <v>304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45273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1951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406</v>
      </c>
      <c r="M181" s="40">
        <v>2</v>
      </c>
      <c r="N181" s="38">
        <v>160</v>
      </c>
      <c r="O181" s="37" t="s">
        <v>284</v>
      </c>
      <c r="P181" s="41">
        <v>10800</v>
      </c>
      <c r="Q181" s="42"/>
      <c r="R181" s="48" t="s">
        <v>305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45273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1959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306</v>
      </c>
      <c r="M182" s="40">
        <v>2</v>
      </c>
      <c r="N182" s="38">
        <v>288</v>
      </c>
      <c r="O182" s="37" t="s">
        <v>152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45273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2758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307</v>
      </c>
      <c r="M183" s="40">
        <v>4</v>
      </c>
      <c r="N183" s="38">
        <v>576</v>
      </c>
      <c r="O183" s="37" t="s">
        <v>152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45273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2760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308</v>
      </c>
      <c r="M184" s="40">
        <v>1</v>
      </c>
      <c r="N184" s="38">
        <v>288</v>
      </c>
      <c r="O184" s="37" t="s">
        <v>152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45273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1329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309</v>
      </c>
      <c r="M185" s="40">
        <v>1</v>
      </c>
      <c r="N185" s="38">
        <v>288</v>
      </c>
      <c r="O185" s="37" t="s">
        <v>152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45273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1330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310</v>
      </c>
      <c r="M186" s="40">
        <v>1</v>
      </c>
      <c r="N186" s="38">
        <v>216</v>
      </c>
      <c r="O186" s="37" t="s">
        <v>152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45273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2853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311</v>
      </c>
      <c r="M187" s="40">
        <v>1</v>
      </c>
      <c r="N187" s="38">
        <v>200</v>
      </c>
      <c r="O187" s="37" t="s">
        <v>175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45273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2300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312</v>
      </c>
      <c r="M188" s="40">
        <v>1</v>
      </c>
      <c r="N188" s="38">
        <v>24</v>
      </c>
      <c r="O188" s="37" t="s">
        <v>152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45273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2930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313</v>
      </c>
      <c r="I190" s="37"/>
      <c r="J190" s="39">
        <v>45268</v>
      </c>
      <c r="K190" s="37"/>
      <c r="L190" s="37" t="s">
        <v>287</v>
      </c>
      <c r="M190" s="40"/>
      <c r="N190" s="38">
        <v>180</v>
      </c>
      <c r="O190" s="37" t="s">
        <v>152</v>
      </c>
      <c r="P190" s="41">
        <v>3700</v>
      </c>
      <c r="Q190" s="42"/>
      <c r="R190" s="48" t="s">
        <v>286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45273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1405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288</v>
      </c>
      <c r="M191" s="40"/>
      <c r="N191" s="38">
        <v>180</v>
      </c>
      <c r="O191" s="37" t="s">
        <v>152</v>
      </c>
      <c r="P191" s="41">
        <v>3700</v>
      </c>
      <c r="Q191" s="42"/>
      <c r="R191" s="48" t="s">
        <v>286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45273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1407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289</v>
      </c>
      <c r="M192" s="40"/>
      <c r="N192" s="38">
        <v>120</v>
      </c>
      <c r="O192" s="37" t="s">
        <v>152</v>
      </c>
      <c r="P192" s="41">
        <v>3700</v>
      </c>
      <c r="Q192" s="42"/>
      <c r="R192" s="48" t="s">
        <v>286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45273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1408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290</v>
      </c>
      <c r="M193" s="40"/>
      <c r="N193" s="38">
        <v>120</v>
      </c>
      <c r="O193" s="37" t="s">
        <v>152</v>
      </c>
      <c r="P193" s="41">
        <v>3700</v>
      </c>
      <c r="Q193" s="42"/>
      <c r="R193" s="48" t="s">
        <v>286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45273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1409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291</v>
      </c>
      <c r="M194" s="40"/>
      <c r="N194" s="38">
        <v>120</v>
      </c>
      <c r="O194" s="37" t="s">
        <v>152</v>
      </c>
      <c r="P194" s="41">
        <v>3700</v>
      </c>
      <c r="Q194" s="42"/>
      <c r="R194" s="48" t="s">
        <v>286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45273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1410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314</v>
      </c>
      <c r="I196" s="37"/>
      <c r="J196" s="39">
        <v>45268</v>
      </c>
      <c r="K196" s="37"/>
      <c r="L196" s="37" t="s">
        <v>178</v>
      </c>
      <c r="M196" s="40">
        <v>5</v>
      </c>
      <c r="N196" s="38">
        <v>720</v>
      </c>
      <c r="O196" s="37" t="s">
        <v>160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45273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Row],[CONCAT4]],[2]!RAW[CONCAT_H],0),FALSE))</f>
        <v>#REF!</v>
      </c>
      <c r="AS196" s="38">
        <f>IF(NOTA[[#This Row],[CONCAT1]]="","",MATCH(NOTA[[#This Row],[CONCAT1]],[3]!db[NB NOTA_C],0))</f>
        <v>2186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237</v>
      </c>
      <c r="M197" s="40">
        <v>5</v>
      </c>
      <c r="N197" s="38">
        <v>180</v>
      </c>
      <c r="O197" s="37" t="s">
        <v>160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45273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2189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315</v>
      </c>
      <c r="M198" s="40"/>
      <c r="N198" s="38">
        <v>240</v>
      </c>
      <c r="O198" s="37" t="s">
        <v>152</v>
      </c>
      <c r="P198" s="41">
        <v>2300</v>
      </c>
      <c r="Q198" s="42"/>
      <c r="R198" s="48" t="s">
        <v>329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45273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3085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316</v>
      </c>
      <c r="M199" s="40">
        <v>1</v>
      </c>
      <c r="N199" s="38">
        <v>100</v>
      </c>
      <c r="O199" s="37" t="s">
        <v>284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45273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2306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317</v>
      </c>
      <c r="M200" s="40">
        <v>1</v>
      </c>
      <c r="N200" s="38">
        <v>96</v>
      </c>
      <c r="O200" s="37" t="s">
        <v>152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45273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2172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318</v>
      </c>
      <c r="M201" s="40">
        <v>1</v>
      </c>
      <c r="N201" s="38">
        <v>72</v>
      </c>
      <c r="O201" s="37" t="s">
        <v>160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45273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692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190</v>
      </c>
      <c r="M202" s="40">
        <v>1</v>
      </c>
      <c r="N202" s="38">
        <v>50</v>
      </c>
      <c r="O202" s="37" t="s">
        <v>175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45273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963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319</v>
      </c>
      <c r="I204" s="37"/>
      <c r="J204" s="39">
        <v>45266</v>
      </c>
      <c r="K204" s="37"/>
      <c r="L204" s="37" t="s">
        <v>293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45273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Row],[CONCAT4]],[2]!RAW[CONCAT_H],0),FALSE))</f>
        <v>#REF!</v>
      </c>
      <c r="AS204" s="38">
        <f>IF(NOTA[[#This Row],[CONCAT1]]="","",MATCH(NOTA[[#This Row],[CONCAT1]],[3]!db[NB NOTA_C],0))</f>
        <v>793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320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45273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>
        <f>IF(NOTA[[#This Row],[CONCAT1]]="","",MATCH(NOTA[[#This Row],[CONCAT1]],[3]!db[NB NOTA_C],0))</f>
        <v>785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321</v>
      </c>
      <c r="M206" s="40">
        <v>4</v>
      </c>
      <c r="N206" s="38">
        <v>12</v>
      </c>
      <c r="O206" s="37" t="s">
        <v>182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45273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306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184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45273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131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322</v>
      </c>
      <c r="I209" s="37"/>
      <c r="J209" s="39">
        <v>45266</v>
      </c>
      <c r="K209" s="37"/>
      <c r="L209" s="37" t="s">
        <v>323</v>
      </c>
      <c r="M209" s="40">
        <v>3</v>
      </c>
      <c r="N209" s="38">
        <v>2160</v>
      </c>
      <c r="O209" s="37" t="s">
        <v>152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45273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727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328</v>
      </c>
      <c r="M210" s="40">
        <v>3</v>
      </c>
      <c r="N210" s="38">
        <v>2160</v>
      </c>
      <c r="O210" s="37" t="s">
        <v>152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45273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728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324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45273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1060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325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45273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1061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326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45273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1063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327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45273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1835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330</v>
      </c>
      <c r="I216" s="37"/>
      <c r="J216" s="39">
        <v>45272</v>
      </c>
      <c r="K216" s="37"/>
      <c r="L216" s="37" t="s">
        <v>585</v>
      </c>
      <c r="M216" s="40">
        <v>2</v>
      </c>
      <c r="N216" s="38">
        <v>2400</v>
      </c>
      <c r="O216" s="37" t="s">
        <v>152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45273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docbaga575178517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MOROJL-7442245272docbaga575178517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831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1200 PCS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docbaga5751785171200pcsartomoro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586</v>
      </c>
      <c r="M217" s="40">
        <v>2</v>
      </c>
      <c r="N217" s="38">
        <v>2400</v>
      </c>
      <c r="O217" s="37" t="s">
        <v>152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45273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docbag19351937mixa4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830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1200 PCS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docbag19351937mixa41200pcsartomoro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331</v>
      </c>
      <c r="I219" s="37"/>
      <c r="J219" s="39">
        <v>45273</v>
      </c>
      <c r="K219" s="37"/>
      <c r="L219" s="37" t="s">
        <v>332</v>
      </c>
      <c r="M219" s="40">
        <v>5</v>
      </c>
      <c r="N219" s="38">
        <v>60</v>
      </c>
      <c r="O219" s="37" t="s">
        <v>152</v>
      </c>
      <c r="P219" s="41">
        <v>87500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5250000</v>
      </c>
      <c r="Y219" s="50">
        <f>IF(NOTA[[#This Row],[JUMLAH]]="","",NOTA[[#This Row],[JUMLAH]]*NOTA[[#This Row],[DISC 1]])</f>
        <v>367500.00000000006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367500.00000000006</v>
      </c>
      <c r="AC219" s="50">
        <f>IF(NOTA[[#This Row],[JUMLAH]]="","",NOTA[[#This Row],[JUMLAH]]-NOTA[[#This Row],[DISC]])</f>
        <v>4882500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367500.00000000006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19" s="50">
        <f>IF(OR(NOTA[[#This Row],[QTY]]="",NOTA[[#This Row],[HARGA SATUAN]]="",),"",NOTA[[#This Row],[QTY]]*NOTA[[#This Row],[HARGA SATUAN]])</f>
        <v>5250000</v>
      </c>
      <c r="AI219" s="39">
        <f ca="1">IF(NOTA[ID_H]="","",INDEX(NOTA[TANGGAL],MATCH(,INDIRECT(ADDRESS(ROW(NOTA[TANGGAL]),COLUMN(NOTA[TANGGAL]))&amp;":"&amp;ADDRESS(ROW(),COLUMN(NOTA[TANGGAL]))),-1)))</f>
        <v>45273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elevatedtraysusun5200510500000.07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elevatedtraysusun5200510500000.07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Row],[CONCAT4]],[2]!RAW[CONCAT_H],0),FALSE))</f>
        <v>#REF!</v>
      </c>
      <c r="AS219" s="38">
        <f>IF(NOTA[[#This Row],[CONCAT1]]="","",MATCH(NOTA[[#This Row],[CONCAT1]],[3]!db[NB NOTA_C],0))</f>
        <v>919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elevatedtraysusun5200512pcsartomoro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333</v>
      </c>
      <c r="I221" s="37"/>
      <c r="J221" s="39">
        <v>45272</v>
      </c>
      <c r="K221" s="37"/>
      <c r="L221" s="37" t="s">
        <v>334</v>
      </c>
      <c r="M221" s="40">
        <v>15</v>
      </c>
      <c r="N221" s="38">
        <f>20*15</f>
        <v>300</v>
      </c>
      <c r="O221" s="37" t="s">
        <v>284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335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Row],[CONCAT4]],[2]!RAW[CONCAT_H],0),FALSE))</f>
        <v>#REF!</v>
      </c>
      <c r="AS221" s="38">
        <f>IF(NOTA[[#This Row],[CONCAT1]]="","",MATCH(NOTA[[#This Row],[CONCAT1]],[3]!db[NB NOTA_C],0))</f>
        <v>1479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336</v>
      </c>
      <c r="I223" s="37"/>
      <c r="J223" s="39">
        <v>45261</v>
      </c>
      <c r="K223" s="37"/>
      <c r="L223" s="37" t="s">
        <v>337</v>
      </c>
      <c r="M223" s="40">
        <v>10</v>
      </c>
      <c r="N223" s="38">
        <v>500</v>
      </c>
      <c r="O223" s="37" t="s">
        <v>284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Row],[CONCAT4]],[2]!RAW[CONCAT_H],0),FALSE))</f>
        <v>#REF!</v>
      </c>
      <c r="AS223" s="38">
        <f>IF(NOTA[[#This Row],[CONCAT1]]="","",MATCH(NOTA[[#This Row],[CONCAT1]],[3]!db[NB NOTA_C],0))</f>
        <v>1442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338</v>
      </c>
      <c r="G225" s="37" t="s">
        <v>127</v>
      </c>
      <c r="H225" s="47" t="s">
        <v>340</v>
      </c>
      <c r="I225" s="37"/>
      <c r="J225" s="39">
        <v>45268</v>
      </c>
      <c r="K225" s="37"/>
      <c r="L225" s="37" t="s">
        <v>339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294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2791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256</v>
      </c>
      <c r="G227" s="37" t="s">
        <v>127</v>
      </c>
      <c r="H227" s="47" t="s">
        <v>341</v>
      </c>
      <c r="I227" s="37"/>
      <c r="J227" s="39">
        <v>45269</v>
      </c>
      <c r="K227" s="37"/>
      <c r="L227" s="37" t="s">
        <v>342</v>
      </c>
      <c r="M227" s="40">
        <v>3</v>
      </c>
      <c r="N227" s="38">
        <v>36</v>
      </c>
      <c r="O227" s="37" t="s">
        <v>152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Row],[CONCAT4]],[2]!RAW[CONCAT_H],0),FALSE))</f>
        <v>#REF!</v>
      </c>
      <c r="AS227" s="38">
        <f>IF(NOTA[[#This Row],[CONCAT1]]="","",MATCH(NOTA[[#This Row],[CONCAT1]],[3]!db[NB NOTA_C],0))</f>
        <v>1897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343</v>
      </c>
      <c r="G229" s="37" t="s">
        <v>127</v>
      </c>
      <c r="H229" s="47" t="s">
        <v>344</v>
      </c>
      <c r="I229" s="37"/>
      <c r="J229" s="39">
        <v>45272</v>
      </c>
      <c r="K229" s="37"/>
      <c r="L229" s="37" t="s">
        <v>345</v>
      </c>
      <c r="M229" s="40"/>
      <c r="N229" s="38">
        <v>30</v>
      </c>
      <c r="O229" s="37" t="s">
        <v>152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3101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346</v>
      </c>
      <c r="M230" s="40"/>
      <c r="N230" s="38">
        <v>30</v>
      </c>
      <c r="O230" s="37" t="s">
        <v>152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3102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347</v>
      </c>
      <c r="M231" s="40"/>
      <c r="N231" s="38">
        <v>30</v>
      </c>
      <c r="O231" s="37" t="s">
        <v>152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3103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348</v>
      </c>
      <c r="M232" s="40"/>
      <c r="N232" s="38">
        <v>30</v>
      </c>
      <c r="O232" s="37" t="s">
        <v>152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3100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164</v>
      </c>
      <c r="G234" s="37" t="s">
        <v>127</v>
      </c>
      <c r="H234" s="47" t="s">
        <v>349</v>
      </c>
      <c r="I234" s="37"/>
      <c r="J234" s="39">
        <v>45269</v>
      </c>
      <c r="K234" s="37"/>
      <c r="L234" s="37" t="s">
        <v>166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167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Row],[CONCAT4]],[2]!RAW[CONCAT_H],0),FALSE))</f>
        <v>#REF!</v>
      </c>
      <c r="AS234" s="38">
        <f>IF(NOTA[[#This Row],[CONCAT1]]="","",MATCH(NOTA[[#This Row],[CONCAT1]],[3]!db[NB NOTA_C],0))</f>
        <v>505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CTN]],INDEX([3]!db[QTY/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353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350</v>
      </c>
      <c r="G236" s="37" t="s">
        <v>127</v>
      </c>
      <c r="H236" s="47" t="s">
        <v>351</v>
      </c>
      <c r="I236" s="37"/>
      <c r="J236" s="39">
        <v>45274</v>
      </c>
      <c r="K236" s="37"/>
      <c r="L236" s="37" t="s">
        <v>352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353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Row],[CONCAT4]],[2]!RAW[CONCAT_H],0),FALSE))</f>
        <v>#REF!</v>
      </c>
      <c r="AS236" s="38">
        <f>IF(NOTA[[#This Row],[CONCAT1]]="","",MATCH(NOTA[[#This Row],[CONCAT1]],[3]!db[NB NOTA_C],0))</f>
        <v>1904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352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354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1904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352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355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1904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352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356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1904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350</v>
      </c>
      <c r="G241" s="37" t="s">
        <v>127</v>
      </c>
      <c r="H241" s="47" t="s">
        <v>357</v>
      </c>
      <c r="I241" s="37"/>
      <c r="J241" s="39">
        <v>45274</v>
      </c>
      <c r="K241" s="37"/>
      <c r="L241" s="37" t="s">
        <v>495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358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HANSAUNTANAHN12202311645274lilinangkashintoeng</v>
      </c>
      <c r="AR241" s="38" t="e">
        <f>IF(NOTA[[#This Row],[CONCAT4]]="","",_xlfn.IFNA(MATCH(NOTA[[#This Row],[CONCAT4]],[2]!RAW[CONCAT_H],0),FALSE))</f>
        <v>#REF!</v>
      </c>
      <c r="AS241" s="38">
        <f>IF(NOTA[[#This Row],[CONCAT1]]="","",MATCH(NOTA[[#This Row],[CONCAT1]],[3]!db[NB NOTA_C],0))</f>
        <v>1904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100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247</v>
      </c>
      <c r="G243" s="37" t="s">
        <v>127</v>
      </c>
      <c r="H243" s="47" t="s">
        <v>359</v>
      </c>
      <c r="I243" s="37"/>
      <c r="J243" s="39">
        <v>45274</v>
      </c>
      <c r="K243" s="37"/>
      <c r="L243" s="37" t="s">
        <v>360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864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docritprestigehitam8lsnuntana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361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865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8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docritprestigemerah8lsnuntana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362</v>
      </c>
      <c r="I246" s="37"/>
      <c r="J246" s="39">
        <v>45269</v>
      </c>
      <c r="K246" s="37"/>
      <c r="L246" s="37" t="s">
        <v>363</v>
      </c>
      <c r="M246" s="40">
        <v>1</v>
      </c>
      <c r="N246" s="38">
        <v>56</v>
      </c>
      <c r="O246" s="37" t="s">
        <v>160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2837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364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2129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365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2111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366</v>
      </c>
      <c r="G250" s="37" t="s">
        <v>127</v>
      </c>
      <c r="H250" s="47" t="s">
        <v>367</v>
      </c>
      <c r="I250" s="37"/>
      <c r="J250" s="39">
        <v>45273</v>
      </c>
      <c r="K250" s="37"/>
      <c r="L250" s="37" t="s">
        <v>368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369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Row],[CONCAT4]],[2]!RAW[CONCAT_H],0),FALSE))</f>
        <v>#REF!</v>
      </c>
      <c r="AS250" s="38">
        <f>IF(NOTA[[#This Row],[CONCAT1]]="","",MATCH(NOTA[[#This Row],[CONCAT1]],[3]!db[NB NOTA_C],0))</f>
        <v>950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370</v>
      </c>
      <c r="G252" s="37" t="s">
        <v>127</v>
      </c>
      <c r="H252" s="47" t="s">
        <v>371</v>
      </c>
      <c r="I252" s="37"/>
      <c r="J252" s="39">
        <v>45266</v>
      </c>
      <c r="K252" s="37"/>
      <c r="L252" s="37" t="s">
        <v>372</v>
      </c>
      <c r="M252" s="40">
        <v>5</v>
      </c>
      <c r="N252" s="38">
        <v>500</v>
      </c>
      <c r="O252" s="37" t="s">
        <v>152</v>
      </c>
      <c r="P252" s="41">
        <v>13500</v>
      </c>
      <c r="Q252" s="42"/>
      <c r="R252" s="48" t="s">
        <v>374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Row],[CONCAT4]],[2]!RAW[CONCAT_H],0),FALSE))</f>
        <v>#REF!</v>
      </c>
      <c r="AS252" s="38">
        <f>IF(NOTA[[#This Row],[CONCAT1]]="","",MATCH(NOTA[[#This Row],[CONCAT1]],[3]!db[NB NOTA_C],0))</f>
        <v>23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373</v>
      </c>
      <c r="M253" s="40">
        <v>5</v>
      </c>
      <c r="N253" s="38">
        <v>500</v>
      </c>
      <c r="O253" s="37" t="s">
        <v>152</v>
      </c>
      <c r="P253" s="41">
        <v>12500</v>
      </c>
      <c r="Q253" s="42"/>
      <c r="R253" s="48" t="s">
        <v>374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3075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375</v>
      </c>
      <c r="G255" s="37" t="s">
        <v>127</v>
      </c>
      <c r="H255" s="47" t="s">
        <v>376</v>
      </c>
      <c r="I255" s="37"/>
      <c r="J255" s="39">
        <v>45275</v>
      </c>
      <c r="K255" s="37"/>
      <c r="L255" s="37" t="s">
        <v>378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377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1993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379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145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>
        <f>IF(NOTA[[#This Row],[CONCAT1]]="","",MATCH(NOTA[[#This Row],[CONCAT1]],[3]!db[NB NOTA_C],0))</f>
        <v>1992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380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377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1994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SNS_1512_1B1-1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59</v>
      </c>
      <c r="E259" s="46">
        <v>45275</v>
      </c>
      <c r="F259" s="37" t="s">
        <v>382</v>
      </c>
      <c r="G259" s="37" t="s">
        <v>127</v>
      </c>
      <c r="H259" s="47" t="s">
        <v>383</v>
      </c>
      <c r="I259" s="37"/>
      <c r="J259" s="39">
        <v>45272</v>
      </c>
      <c r="K259" s="37"/>
      <c r="L259" s="37" t="s">
        <v>384</v>
      </c>
      <c r="M259" s="40">
        <v>3</v>
      </c>
      <c r="N259" s="38">
        <v>36</v>
      </c>
      <c r="O259" s="37" t="s">
        <v>152</v>
      </c>
      <c r="P259" s="41">
        <v>71000</v>
      </c>
      <c r="Q259" s="42"/>
      <c r="R259" s="48" t="s">
        <v>259</v>
      </c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2556000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2556000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2556000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259" s="50">
        <f>IF(OR(NOTA[[#This Row],[QTY]]="",NOTA[[#This Row],[HARGA SATUAN]]="",),"",NOTA[[#This Row],[QTY]]*NOTA[[#This Row],[HARGA SATUAN]])</f>
        <v>2556000</v>
      </c>
      <c r="AI259" s="39">
        <f ca="1">IF(NOTA[ID_H]="","",INDEX(NOTA[TANGGAL],MATCH(,INDIRECT(ADDRESS(ROW(NOTA[TANGGAL]),COLUMN(NOTA[TANGGAL]))&amp;":"&amp;ADDRESS(ROW(),COLUMN(NOTA[TANGGAL]))),-1)))</f>
        <v>45275</v>
      </c>
      <c r="AJ259" s="41" t="str">
        <f ca="1">IF(NOTA[[#This Row],[NAMA BARANG]]="","",INDEX(NOTA[SUPPLIER],MATCH(,INDIRECT(ADDRESS(ROW(NOTA[ID]),COLUMN(NOTA[ID]))&amp;":"&amp;ADDRESS(ROW(),COLUMN(NOTA[ID]))),-1)))</f>
        <v>SNS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1</v>
      </c>
      <c r="AM259" s="38">
        <f>IF(NOTA[[#This Row],[TGL.NOTA]]="",IF(NOTA[[#This Row],[SUPPLIER_H]]="","",AM258),MONTH(NOTA[[#This Row],[TGL.NOTA]]))</f>
        <v>12</v>
      </c>
      <c r="AN259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lettertraybesimicrotopmt11844ssn852000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lettertraybesimicrotopmt11844ssn852000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SNSUNTANAVM0191B145272lettertraybesimicrotopmt11844ssn</v>
      </c>
      <c r="AR259" s="38" t="e">
        <f>IF(NOTA[[#This Row],[CONCAT4]]="","",_xlfn.IFNA(MATCH(NOTA[[#This Row],[CONCAT4]],[2]!RAW[CONCAT_H],0),FALSE))</f>
        <v>#REF!</v>
      </c>
      <c r="AS259" s="38">
        <f>IF(NOTA[[#This Row],[CONCAT1]]="","",MATCH(NOTA[[#This Row],[CONCAT1]],[3]!db[NB NOTA_C],0))</f>
        <v>1898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12 PCS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ETJ_1812_623-1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60</v>
      </c>
      <c r="E261" s="46">
        <v>45278</v>
      </c>
      <c r="F261" s="37" t="s">
        <v>366</v>
      </c>
      <c r="G261" s="37" t="s">
        <v>127</v>
      </c>
      <c r="H261" s="47" t="s">
        <v>385</v>
      </c>
      <c r="I261" s="37"/>
      <c r="J261" s="39">
        <v>45275</v>
      </c>
      <c r="K261" s="37"/>
      <c r="L261" s="37" t="s">
        <v>496</v>
      </c>
      <c r="M261" s="40">
        <v>2</v>
      </c>
      <c r="N261" s="38">
        <v>200</v>
      </c>
      <c r="O261" s="37" t="s">
        <v>284</v>
      </c>
      <c r="P261" s="41">
        <v>17500</v>
      </c>
      <c r="Q261" s="42"/>
      <c r="R261" s="48"/>
      <c r="S261" s="49"/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3500000</v>
      </c>
      <c r="Y261" s="50">
        <f>IF(NOTA[[#This Row],[JUMLAH]]="","",NOTA[[#This Row],[JUMLAH]]*NOTA[[#This Row],[DISC 1]])</f>
        <v>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0</v>
      </c>
      <c r="AC261" s="50">
        <f>IF(NOTA[[#This Row],[JUMLAH]]="","",NOTA[[#This Row],[JUMLAH]]-NOTA[[#This Row],[DISC]])</f>
        <v>3500000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61" s="50">
        <f>IF(OR(NOTA[[#This Row],[QTY]]="",NOTA[[#This Row],[HARGA SATUAN]]="",),"",NOTA[[#This Row],[QTY]]*NOTA[[#This Row],[HARGA SATUAN]])</f>
        <v>3500000</v>
      </c>
      <c r="AI261" s="39">
        <f ca="1">IF(NOTA[ID_H]="","",INDEX(NOTA[TANGGAL],MATCH(,INDIRECT(ADDRESS(ROW(NOTA[TANGGAL]),COLUMN(NOTA[TANGGAL]))&amp;":"&amp;ADDRESS(ROW(),COLUMN(NOTA[TANGGAL]))),-1)))</f>
        <v>45278</v>
      </c>
      <c r="AJ261" s="41" t="str">
        <f ca="1">IF(NOTA[[#This Row],[NAMA BARANG]]="","",INDEX(NOTA[SUPPLIER],MATCH(,INDIRECT(ADDRESS(ROW(NOTA[ID]),COLUMN(NOTA[ID]))&amp;":"&amp;ADDRESS(ROW(),COLUMN(NOTA[ID]))),-1)))</f>
        <v>ETJ</v>
      </c>
      <c r="AK261" s="41" t="str">
        <f ca="1">IF(NOTA[[#This Row],[ID_H]]="","",IF(NOTA[[#This Row],[FAKTUR]]="",INDIRECT(ADDRESS(ROW()-1,COLUMN())),NOTA[[#This Row],[FAKTUR]]))</f>
        <v>UNTANA</v>
      </c>
      <c r="AL261" s="38">
        <f ca="1">IF(NOTA[[#This Row],[ID]]="","",COUNTIF(NOTA[ID_H],NOTA[[#This Row],[ID_H]]))</f>
        <v>1</v>
      </c>
      <c r="AM261" s="38">
        <f>IF(NOTA[[#This Row],[TGL.NOTA]]="",IF(NOTA[[#This Row],[SUPPLIER_H]]="","",AM260),MONTH(NOTA[[#This Row],[TGL.NOTA]]))</f>
        <v>12</v>
      </c>
      <c r="AN261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ETJUNTANAW66.2345275kojikokabsendmrh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1841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100 PAK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ATA_1812_809-1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61</v>
      </c>
      <c r="E263" s="46">
        <v>45278</v>
      </c>
      <c r="F263" s="37" t="s">
        <v>24</v>
      </c>
      <c r="G263" s="37" t="s">
        <v>23</v>
      </c>
      <c r="H263" s="47" t="s">
        <v>386</v>
      </c>
      <c r="I263" s="37"/>
      <c r="J263" s="39">
        <v>45274</v>
      </c>
      <c r="K263" s="37"/>
      <c r="L263" s="37" t="s">
        <v>387</v>
      </c>
      <c r="M263" s="40">
        <v>2</v>
      </c>
      <c r="N263" s="38">
        <v>100</v>
      </c>
      <c r="O263" s="37" t="s">
        <v>284</v>
      </c>
      <c r="P263" s="41">
        <v>15500</v>
      </c>
      <c r="Q263" s="42"/>
      <c r="R263" s="48" t="s">
        <v>388</v>
      </c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1550000</v>
      </c>
      <c r="Y263" s="50">
        <f>IF(NOTA[[#This Row],[JUMLAH]]="","",NOTA[[#This Row],[JUMLAH]]*NOTA[[#This Row],[DISC 1]])</f>
        <v>193750</v>
      </c>
      <c r="Z263" s="50">
        <f>IF(NOTA[[#This Row],[JUMLAH]]="","",(NOTA[[#This Row],[JUMLAH]]-NOTA[[#This Row],[DISC 1-]])*NOTA[[#This Row],[DISC 2]])</f>
        <v>67812.5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261562.5</v>
      </c>
      <c r="AC263" s="50">
        <f>IF(NOTA[[#This Row],[JUMLAH]]="","",NOTA[[#This Row],[JUMLAH]]-NOTA[[#This Row],[DISC]])</f>
        <v>1288437.5</v>
      </c>
      <c r="AD263" s="50"/>
      <c r="AE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261562.5</v>
      </c>
      <c r="AF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1288437.5</v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263" s="50">
        <f>IF(OR(NOTA[[#This Row],[QTY]]="",NOTA[[#This Row],[HARGA SATUAN]]="",),"",NOTA[[#This Row],[QTY]]*NOTA[[#This Row],[HARGA SATUAN]])</f>
        <v>1550000</v>
      </c>
      <c r="AI263" s="39">
        <f ca="1">IF(NOTA[ID_H]="","",INDEX(NOTA[TANGGAL],MATCH(,INDIRECT(ADDRESS(ROW(NOTA[TANGGAL]),COLUMN(NOTA[TANGGAL]))&amp;":"&amp;ADDRESS(ROW(),COLUMN(NOTA[TANGGAL]))),-1)))</f>
        <v>45278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>
        <f ca="1">IF(NOTA[[#This Row],[ID]]="","",COUNTIF(NOTA[ID_H],NOTA[[#This Row],[ID_H]]))</f>
        <v>1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MOROSA23122180945274labelstickerpaperlsp09jk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1872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50 PAK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ATA_1512_640-6</v>
      </c>
      <c r="C265" s="38" t="e">
        <f ca="1">IF(NOTA[[#This Row],[ID_P]]="","",MATCH(NOTA[[#This Row],[ID_P]],[1]!B_MSK[N_ID],0))</f>
        <v>#REF!</v>
      </c>
      <c r="D265" s="38">
        <f ca="1">IF(NOTA[[#This Row],[NAMA BARANG]]="","",INDEX(NOTA[ID],MATCH(,INDIRECT(ADDRESS(ROW(NOTA[ID]),COLUMN(NOTA[ID]))&amp;":"&amp;ADDRESS(ROW(),COLUMN(NOTA[ID]))),-1)))</f>
        <v>62</v>
      </c>
      <c r="E265" s="46">
        <v>45275</v>
      </c>
      <c r="F265" s="37" t="s">
        <v>24</v>
      </c>
      <c r="G265" s="37" t="s">
        <v>23</v>
      </c>
      <c r="H265" s="47" t="s">
        <v>389</v>
      </c>
      <c r="I265" s="37"/>
      <c r="J265" s="39">
        <v>45271</v>
      </c>
      <c r="K265" s="37"/>
      <c r="L265" s="37" t="s">
        <v>323</v>
      </c>
      <c r="M265" s="40">
        <v>1</v>
      </c>
      <c r="N265" s="38">
        <v>720</v>
      </c>
      <c r="O265" s="37" t="s">
        <v>152</v>
      </c>
      <c r="P265" s="41">
        <v>4600</v>
      </c>
      <c r="Q265" s="42"/>
      <c r="R265" s="48"/>
      <c r="S265" s="49">
        <v>0.125</v>
      </c>
      <c r="T265" s="44">
        <v>0.1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3312000</v>
      </c>
      <c r="Y265" s="50">
        <f>IF(NOTA[[#This Row],[JUMLAH]]="","",NOTA[[#This Row],[JUMLAH]]*NOTA[[#This Row],[DISC 1]])</f>
        <v>414000</v>
      </c>
      <c r="Z265" s="50">
        <f>IF(NOTA[[#This Row],[JUMLAH]]="","",(NOTA[[#This Row],[JUMLAH]]-NOTA[[#This Row],[DISC 1-]])*NOTA[[#This Row],[DISC 2]])</f>
        <v>289800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703800</v>
      </c>
      <c r="AC265" s="50">
        <f>IF(NOTA[[#This Row],[JUMLAH]]="","",NOTA[[#This Row],[JUMLAH]]-NOTA[[#This Row],[DISC]])</f>
        <v>2608200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65" s="50">
        <f>IF(OR(NOTA[[#This Row],[QTY]]="",NOTA[[#This Row],[HARGA SATUAN]]="",),"",NOTA[[#This Row],[QTY]]*NOTA[[#This Row],[HARGA SATUAN]])</f>
        <v>3312000</v>
      </c>
      <c r="AI265" s="39">
        <f ca="1">IF(NOTA[ID_H]="","",INDEX(NOTA[TANGGAL],MATCH(,INDIRECT(ADDRESS(ROW(NOTA[TANGGAL]),COLUMN(NOTA[TANGGAL]))&amp;":"&amp;ADDRESS(ROW(),COLUMN(NOTA[TANGGAL]))),-1)))</f>
        <v>45275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>
        <f ca="1">IF(NOTA[[#This Row],[ID]]="","",COUNTIF(NOTA[ID_H],NOTA[[#This Row],[ID_H]]))</f>
        <v>6</v>
      </c>
      <c r="AM265" s="38">
        <f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MOROSA23122164045271correctiontapect507jk</v>
      </c>
      <c r="AR265" s="38" t="e">
        <f>IF(NOTA[[#This Row],[CONCAT4]]="","",_xlfn.IFNA(MATCH(NOTA[[#This Row],[CONCAT4]],[2]!RAW[CONCAT_H],0),FALSE))</f>
        <v>#REF!</v>
      </c>
      <c r="AS265" s="38">
        <f>IF(NOTA[[#This Row],[CONCAT1]]="","",MATCH(NOTA[[#This Row],[CONCAT1]],[3]!db[NB NOTA_C],0))</f>
        <v>727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62</v>
      </c>
      <c r="E266" s="46"/>
      <c r="F266" s="37"/>
      <c r="G266" s="37"/>
      <c r="H266" s="47"/>
      <c r="I266" s="37"/>
      <c r="J266" s="39"/>
      <c r="K266" s="37"/>
      <c r="L266" s="37" t="s">
        <v>390</v>
      </c>
      <c r="M266" s="40">
        <v>1</v>
      </c>
      <c r="N266" s="38">
        <v>120</v>
      </c>
      <c r="O266" s="37" t="s">
        <v>130</v>
      </c>
      <c r="P266" s="41">
        <v>16800</v>
      </c>
      <c r="Q266" s="42"/>
      <c r="R266" s="48"/>
      <c r="S266" s="49">
        <v>0.125</v>
      </c>
      <c r="T266" s="44">
        <v>0.1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2016000</v>
      </c>
      <c r="Y266" s="50">
        <f>IF(NOTA[[#This Row],[JUMLAH]]="","",NOTA[[#This Row],[JUMLAH]]*NOTA[[#This Row],[DISC 1]])</f>
        <v>252000</v>
      </c>
      <c r="Z266" s="50">
        <f>IF(NOTA[[#This Row],[JUMLAH]]="","",(NOTA[[#This Row],[JUMLAH]]-NOTA[[#This Row],[DISC 1-]])*NOTA[[#This Row],[DISC 2]])</f>
        <v>176400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428400</v>
      </c>
      <c r="AC266" s="50">
        <f>IF(NOTA[[#This Row],[JUMLAH]]="","",NOTA[[#This Row],[JUMLAH]]-NOTA[[#This Row],[DISC]])</f>
        <v>1587600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66" s="50">
        <f>IF(OR(NOTA[[#This Row],[QTY]]="",NOTA[[#This Row],[HARGA SATUAN]]="",),"",NOTA[[#This Row],[QTY]]*NOTA[[#This Row],[HARGA SATUAN]])</f>
        <v>2016000</v>
      </c>
      <c r="AI266" s="39">
        <f ca="1">IF(NOTA[ID_H]="","",INDEX(NOTA[TANGGAL],MATCH(,INDIRECT(ADDRESS(ROW(NOTA[TANGGAL]),COLUMN(NOTA[TANGGAL]))&amp;":"&amp;ADDRESS(ROW(),COLUMN(NOTA[TANGGAL]))),-1)))</f>
        <v>45275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correctionfluidcfp236jk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correctionfluidcfp236jk20160000.1250.1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correctionfluidcfp236jk20160000.1250.1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711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120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correctionfluidcfp236jk120lsnartomoro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62</v>
      </c>
      <c r="E267" s="46"/>
      <c r="F267" s="37"/>
      <c r="G267" s="37"/>
      <c r="H267" s="47"/>
      <c r="I267" s="37"/>
      <c r="J267" s="39"/>
      <c r="K267" s="37"/>
      <c r="L267" s="37" t="s">
        <v>321</v>
      </c>
      <c r="M267" s="40">
        <v>2</v>
      </c>
      <c r="N267" s="38">
        <v>6</v>
      </c>
      <c r="O267" s="37" t="s">
        <v>182</v>
      </c>
      <c r="P267" s="41">
        <v>507600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3045600</v>
      </c>
      <c r="Y267" s="50">
        <f>IF(NOTA[[#This Row],[JUMLAH]]="","",NOTA[[#This Row],[JUMLAH]]*NOTA[[#This Row],[DISC 1]])</f>
        <v>380700</v>
      </c>
      <c r="Z267" s="50">
        <f>IF(NOTA[[#This Row],[JUMLAH]]="","",(NOTA[[#This Row],[JUMLAH]]-NOTA[[#This Row],[DISC 1-]])*NOTA[[#This Row],[DISC 2]])</f>
        <v>266490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647190</v>
      </c>
      <c r="AC267" s="50">
        <f>IF(NOTA[[#This Row],[JUMLAH]]="","",NOTA[[#This Row],[JUMLAH]]-NOTA[[#This Row],[DISC]])</f>
        <v>2398410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67" s="50">
        <f>IF(OR(NOTA[[#This Row],[QTY]]="",NOTA[[#This Row],[HARGA SATUAN]]="",),"",NOTA[[#This Row],[QTY]]*NOTA[[#This Row],[HARGA SATUAN]])</f>
        <v>3045600</v>
      </c>
      <c r="AI267" s="39">
        <f ca="1">IF(NOTA[ID_H]="","",INDEX(NOTA[TANGGAL],MATCH(,INDIRECT(ADDRESS(ROW(NOTA[TANGGAL]),COLUMN(NOTA[TANGGAL]))&amp;":"&amp;ADDRESS(ROW(),COLUMN(NOTA[TANGGAL]))),-1)))</f>
        <v>45275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306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3 GRS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62</v>
      </c>
      <c r="E268" s="46"/>
      <c r="F268" s="37"/>
      <c r="G268" s="37"/>
      <c r="H268" s="47"/>
      <c r="I268" s="37"/>
      <c r="J268" s="39"/>
      <c r="K268" s="37"/>
      <c r="L268" s="37" t="s">
        <v>570</v>
      </c>
      <c r="M268" s="40"/>
      <c r="N268" s="38">
        <v>12</v>
      </c>
      <c r="O268" s="37" t="s">
        <v>130</v>
      </c>
      <c r="P268" s="41">
        <v>13200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158400</v>
      </c>
      <c r="Y268" s="50">
        <f>IF(NOTA[[#This Row],[JUMLAH]]="","",NOTA[[#This Row],[JUMLAH]]*NOTA[[#This Row],[DISC 1]])</f>
        <v>19800</v>
      </c>
      <c r="Z268" s="50">
        <f>IF(NOTA[[#This Row],[JUMLAH]]="","",(NOTA[[#This Row],[JUMLAH]]-NOTA[[#This Row],[DISC 1-]])*NOTA[[#This Row],[DISC 2]])</f>
        <v>6930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26730</v>
      </c>
      <c r="AC268" s="50">
        <f>IF(NOTA[[#This Row],[JUMLAH]]="","",NOTA[[#This Row],[JUMLAH]]-NOTA[[#This Row],[DISC]])</f>
        <v>131670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68" s="50">
        <f>IF(OR(NOTA[[#This Row],[QTY]]="",NOTA[[#This Row],[HARGA SATUAN]]="",),"",NOTA[[#This Row],[QTY]]*NOTA[[#This Row],[HARGA SATUAN]])</f>
        <v>158400</v>
      </c>
      <c r="AI268" s="39">
        <f ca="1">IF(NOTA[ID_H]="","",INDEX(NOTA[TANGGAL],MATCH(,INDIRECT(ADDRESS(ROW(NOTA[TANGGAL]),COLUMN(NOTA[TANGGAL]))&amp;":"&amp;ADDRESS(ROW(),COLUMN(NOTA[TANGGAL]))),-1)))</f>
        <v>45275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131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144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62</v>
      </c>
      <c r="E269" s="46"/>
      <c r="F269" s="37"/>
      <c r="G269" s="37"/>
      <c r="H269" s="47"/>
      <c r="I269" s="37"/>
      <c r="J269" s="39"/>
      <c r="K269" s="37"/>
      <c r="L269" s="37" t="s">
        <v>392</v>
      </c>
      <c r="M269" s="40">
        <v>2</v>
      </c>
      <c r="N269" s="38">
        <v>96</v>
      </c>
      <c r="O269" s="37" t="s">
        <v>130</v>
      </c>
      <c r="P269" s="41">
        <v>36000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3456000</v>
      </c>
      <c r="Y269" s="50">
        <f>IF(NOTA[[#This Row],[JUMLAH]]="","",NOTA[[#This Row],[JUMLAH]]*NOTA[[#This Row],[DISC 1]])</f>
        <v>432000</v>
      </c>
      <c r="Z269" s="50">
        <f>IF(NOTA[[#This Row],[JUMLAH]]="","",(NOTA[[#This Row],[JUMLAH]]-NOTA[[#This Row],[DISC 1-]])*NOTA[[#This Row],[DISC 2]])</f>
        <v>302400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734400</v>
      </c>
      <c r="AC269" s="50">
        <f>IF(NOTA[[#This Row],[JUMLAH]]="","",NOTA[[#This Row],[JUMLAH]]-NOTA[[#This Row],[DISC]])</f>
        <v>2721600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69" s="50">
        <f>IF(OR(NOTA[[#This Row],[QTY]]="",NOTA[[#This Row],[HARGA SATUAN]]="",),"",NOTA[[#This Row],[QTY]]*NOTA[[#This Row],[HARGA SATUAN]])</f>
        <v>3456000</v>
      </c>
      <c r="AI269" s="39">
        <f ca="1">IF(NOTA[ID_H]="","",INDEX(NOTA[TANGGAL],MATCH(,INDIRECT(ADDRESS(ROW(NOTA[TANGGAL]),COLUMN(NOTA[TANGGAL]))&amp;":"&amp;ADDRESS(ROW(),COLUMN(NOTA[TANGGAL]))),-1)))</f>
        <v>45275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12</v>
      </c>
      <c r="AN269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723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48 LSN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62</v>
      </c>
      <c r="E270" s="46"/>
      <c r="F270" s="37"/>
      <c r="G270" s="37"/>
      <c r="H270" s="47"/>
      <c r="I270" s="37"/>
      <c r="J270" s="39"/>
      <c r="K270" s="37"/>
      <c r="L270" s="37" t="s">
        <v>570</v>
      </c>
      <c r="M270" s="40"/>
      <c r="N270" s="38">
        <v>12</v>
      </c>
      <c r="O270" s="37" t="s">
        <v>130</v>
      </c>
      <c r="P270" s="41">
        <v>13200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158400</v>
      </c>
      <c r="Y270" s="50">
        <f>IF(NOTA[[#This Row],[JUMLAH]]="","",NOTA[[#This Row],[JUMLAH]]*NOTA[[#This Row],[DISC 1]])</f>
        <v>19800</v>
      </c>
      <c r="Z270" s="50">
        <f>IF(NOTA[[#This Row],[JUMLAH]]="","",(NOTA[[#This Row],[JUMLAH]]-NOTA[[#This Row],[DISC 1-]])*NOTA[[#This Row],[DISC 2]])</f>
        <v>6930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26730</v>
      </c>
      <c r="AC270" s="50">
        <f>IF(NOTA[[#This Row],[JUMLAH]]="","",NOTA[[#This Row],[JUMLAH]]-NOTA[[#This Row],[DISC]])</f>
        <v>131670</v>
      </c>
      <c r="AD270" s="50"/>
      <c r="AE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2567250</v>
      </c>
      <c r="AF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9579150</v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70" s="50">
        <f>IF(OR(NOTA[[#This Row],[QTY]]="",NOTA[[#This Row],[HARGA SATUAN]]="",),"",NOTA[[#This Row],[QTY]]*NOTA[[#This Row],[HARGA SATUAN]])</f>
        <v>158400</v>
      </c>
      <c r="AI270" s="39">
        <f ca="1">IF(NOTA[ID_H]="","",INDEX(NOTA[TANGGAL],MATCH(,INDIRECT(ADDRESS(ROW(NOTA[TANGGAL]),COLUMN(NOTA[TANGGAL]))&amp;":"&amp;ADDRESS(ROW(),COLUMN(NOTA[TANGGAL]))),-1)))</f>
        <v>45275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12</v>
      </c>
      <c r="AN27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131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144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ATA_1512_567-7</v>
      </c>
      <c r="C272" s="38" t="e">
        <f ca="1">IF(NOTA[[#This Row],[ID_P]]="","",MATCH(NOTA[[#This Row],[ID_P]],[1]!B_MSK[N_ID],0))</f>
        <v>#REF!</v>
      </c>
      <c r="D272" s="38">
        <f ca="1">IF(NOTA[[#This Row],[NAMA BARANG]]="","",INDEX(NOTA[ID],MATCH(,INDIRECT(ADDRESS(ROW(NOTA[ID]),COLUMN(NOTA[ID]))&amp;":"&amp;ADDRESS(ROW(),COLUMN(NOTA[ID]))),-1)))</f>
        <v>63</v>
      </c>
      <c r="E272" s="46">
        <v>45275</v>
      </c>
      <c r="F272" s="37" t="s">
        <v>24</v>
      </c>
      <c r="G272" s="37" t="s">
        <v>23</v>
      </c>
      <c r="H272" s="47" t="s">
        <v>489</v>
      </c>
      <c r="I272" s="37"/>
      <c r="J272" s="39">
        <v>45271</v>
      </c>
      <c r="K272" s="37"/>
      <c r="L272" s="37" t="s">
        <v>393</v>
      </c>
      <c r="M272" s="40"/>
      <c r="N272" s="38">
        <v>72</v>
      </c>
      <c r="O272" s="37" t="s">
        <v>152</v>
      </c>
      <c r="P272" s="41">
        <v>4800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345600</v>
      </c>
      <c r="Y272" s="50">
        <f>IF(NOTA[[#This Row],[JUMLAH]]="","",NOTA[[#This Row],[JUMLAH]]*NOTA[[#This Row],[DISC 1]])</f>
        <v>43200</v>
      </c>
      <c r="Z272" s="50">
        <f>IF(NOTA[[#This Row],[JUMLAH]]="","",(NOTA[[#This Row],[JUMLAH]]-NOTA[[#This Row],[DISC 1-]])*NOTA[[#This Row],[DISC 2]])</f>
        <v>15120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58320</v>
      </c>
      <c r="AC272" s="50">
        <f>IF(NOTA[[#This Row],[JUMLAH]]="","",NOTA[[#This Row],[JUMLAH]]-NOTA[[#This Row],[DISC]])</f>
        <v>287280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2" s="50">
        <f>IF(OR(NOTA[[#This Row],[QTY]]="",NOTA[[#This Row],[HARGA SATUAN]]="",),"",NOTA[[#This Row],[QTY]]*NOTA[[#This Row],[HARGA SATUAN]])</f>
        <v>345600</v>
      </c>
      <c r="AI272" s="39">
        <f ca="1">IF(NOTA[ID_H]="","",INDEX(NOTA[TANGGAL],MATCH(,INDIRECT(ADDRESS(ROW(NOTA[TANGGAL]),COLUMN(NOTA[TANGGAL]))&amp;":"&amp;ADDRESS(ROW(),COLUMN(NOTA[TANGGAL]))),-1)))</f>
        <v>45275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>
        <f ca="1">IF(NOTA[[#This Row],[ID]]="","",COUNTIF(NOTA[ID_H],NOTA[[#This Row],[ID_H]]))</f>
        <v>7</v>
      </c>
      <c r="AM272" s="38">
        <f>IF(NOTA[[#This Row],[TGL.NOTA]]="",IF(NOTA[[#This Row],[SUPPLIER_H]]="","",AM271),MONTH(NOTA[[#This Row],[TGL.NOTA]]))</f>
        <v>12</v>
      </c>
      <c r="AN272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MOROSA23122156745271pencilcasepc0719pstl35bluejk</v>
      </c>
      <c r="AR272" s="38" t="e">
        <f>IF(NOTA[[#This Row],[CONCAT4]]="","",_xlfn.IFNA(MATCH(NOTA[[#This Row],[CONCAT4]],[2]!RAW[CONCAT_H],0),FALSE))</f>
        <v>#REF!</v>
      </c>
      <c r="AS272" s="38">
        <f>IF(NOTA[[#This Row],[CONCAT1]]="","",MATCH(NOTA[[#This Row],[CONCAT1]],[3]!db[NB NOTA_C],0))</f>
        <v>2478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288 PCS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63</v>
      </c>
      <c r="E273" s="46"/>
      <c r="F273" s="37"/>
      <c r="G273" s="37"/>
      <c r="H273" s="47"/>
      <c r="I273" s="37"/>
      <c r="J273" s="39"/>
      <c r="K273" s="37"/>
      <c r="L273" s="37" t="s">
        <v>394</v>
      </c>
      <c r="M273" s="40"/>
      <c r="N273" s="38">
        <v>72</v>
      </c>
      <c r="O273" s="37" t="s">
        <v>152</v>
      </c>
      <c r="P273" s="41">
        <v>4800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345600</v>
      </c>
      <c r="Y273" s="50">
        <f>IF(NOTA[[#This Row],[JUMLAH]]="","",NOTA[[#This Row],[JUMLAH]]*NOTA[[#This Row],[DISC 1]])</f>
        <v>43200</v>
      </c>
      <c r="Z273" s="50">
        <f>IF(NOTA[[#This Row],[JUMLAH]]="","",(NOTA[[#This Row],[JUMLAH]]-NOTA[[#This Row],[DISC 1-]])*NOTA[[#This Row],[DISC 2]])</f>
        <v>15120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58320</v>
      </c>
      <c r="AC273" s="50">
        <f>IF(NOTA[[#This Row],[JUMLAH]]="","",NOTA[[#This Row],[JUMLAH]]-NOTA[[#This Row],[DISC]])</f>
        <v>287280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3" s="50">
        <f>IF(OR(NOTA[[#This Row],[QTY]]="",NOTA[[#This Row],[HARGA SATUAN]]="",),"",NOTA[[#This Row],[QTY]]*NOTA[[#This Row],[HARGA SATUAN]])</f>
        <v>345600</v>
      </c>
      <c r="AI273" s="39">
        <f ca="1">IF(NOTA[ID_H]="","",INDEX(NOTA[TANGGAL],MATCH(,INDIRECT(ADDRESS(ROW(NOTA[TANGGAL]),COLUMN(NOTA[TANGGAL]))&amp;":"&amp;ADDRESS(ROW(),COLUMN(NOTA[TANGGAL]))),-1)))</f>
        <v>45275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12</v>
      </c>
      <c r="AN273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2479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288 PCS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63</v>
      </c>
      <c r="E274" s="46"/>
      <c r="F274" s="37"/>
      <c r="G274" s="37"/>
      <c r="H274" s="47"/>
      <c r="I274" s="37"/>
      <c r="J274" s="39"/>
      <c r="K274" s="37"/>
      <c r="L274" s="37" t="s">
        <v>395</v>
      </c>
      <c r="M274" s="40"/>
      <c r="N274" s="38">
        <v>72</v>
      </c>
      <c r="O274" s="37" t="s">
        <v>152</v>
      </c>
      <c r="P274" s="41">
        <v>4800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345600</v>
      </c>
      <c r="Y274" s="50">
        <f>IF(NOTA[[#This Row],[JUMLAH]]="","",NOTA[[#This Row],[JUMLAH]]*NOTA[[#This Row],[DISC 1]])</f>
        <v>43200</v>
      </c>
      <c r="Z274" s="50">
        <f>IF(NOTA[[#This Row],[JUMLAH]]="","",(NOTA[[#This Row],[JUMLAH]]-NOTA[[#This Row],[DISC 1-]])*NOTA[[#This Row],[DISC 2]])</f>
        <v>15120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58320</v>
      </c>
      <c r="AC274" s="50">
        <f>IF(NOTA[[#This Row],[JUMLAH]]="","",NOTA[[#This Row],[JUMLAH]]-NOTA[[#This Row],[DISC]])</f>
        <v>287280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4" s="50">
        <f>IF(OR(NOTA[[#This Row],[QTY]]="",NOTA[[#This Row],[HARGA SATUAN]]="",),"",NOTA[[#This Row],[QTY]]*NOTA[[#This Row],[HARGA SATUAN]])</f>
        <v>345600</v>
      </c>
      <c r="AI274" s="39">
        <f ca="1">IF(NOTA[ID_H]="","",INDEX(NOTA[TANGGAL],MATCH(,INDIRECT(ADDRESS(ROW(NOTA[TANGGAL]),COLUMN(NOTA[TANGGAL]))&amp;":"&amp;ADDRESS(ROW(),COLUMN(NOTA[TANGGAL]))),-1)))</f>
        <v>45275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2480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288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63</v>
      </c>
      <c r="E275" s="46"/>
      <c r="F275" s="37"/>
      <c r="G275" s="37"/>
      <c r="H275" s="47"/>
      <c r="I275" s="37"/>
      <c r="J275" s="39"/>
      <c r="K275" s="37"/>
      <c r="L275" s="37" t="s">
        <v>396</v>
      </c>
      <c r="M275" s="40"/>
      <c r="N275" s="38">
        <v>72</v>
      </c>
      <c r="O275" s="37" t="s">
        <v>152</v>
      </c>
      <c r="P275" s="41">
        <v>4800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345600</v>
      </c>
      <c r="Y275" s="50">
        <f>IF(NOTA[[#This Row],[JUMLAH]]="","",NOTA[[#This Row],[JUMLAH]]*NOTA[[#This Row],[DISC 1]])</f>
        <v>43200</v>
      </c>
      <c r="Z275" s="50">
        <f>IF(NOTA[[#This Row],[JUMLAH]]="","",(NOTA[[#This Row],[JUMLAH]]-NOTA[[#This Row],[DISC 1-]])*NOTA[[#This Row],[DISC 2]])</f>
        <v>15120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58320</v>
      </c>
      <c r="AC275" s="50">
        <f>IF(NOTA[[#This Row],[JUMLAH]]="","",NOTA[[#This Row],[JUMLAH]]-NOTA[[#This Row],[DISC]])</f>
        <v>287280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5" s="50">
        <f>IF(OR(NOTA[[#This Row],[QTY]]="",NOTA[[#This Row],[HARGA SATUAN]]="",),"",NOTA[[#This Row],[QTY]]*NOTA[[#This Row],[HARGA SATUAN]])</f>
        <v>345600</v>
      </c>
      <c r="AI275" s="39">
        <f ca="1">IF(NOTA[ID_H]="","",INDEX(NOTA[TANGGAL],MATCH(,INDIRECT(ADDRESS(ROW(NOTA[TANGGAL]),COLUMN(NOTA[TANGGAL]))&amp;":"&amp;ADDRESS(ROW(),COLUMN(NOTA[TANGGAL]))),-1)))</f>
        <v>45275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2481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288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63</v>
      </c>
      <c r="E276" s="46"/>
      <c r="F276" s="37"/>
      <c r="G276" s="37"/>
      <c r="H276" s="47"/>
      <c r="I276" s="37"/>
      <c r="J276" s="39"/>
      <c r="K276" s="37"/>
      <c r="L276" s="37" t="s">
        <v>397</v>
      </c>
      <c r="M276" s="40">
        <v>1</v>
      </c>
      <c r="N276" s="38">
        <v>1000</v>
      </c>
      <c r="O276" s="37" t="s">
        <v>173</v>
      </c>
      <c r="P276" s="41">
        <v>2050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2050000</v>
      </c>
      <c r="Y276" s="50">
        <f>IF(NOTA[[#This Row],[JUMLAH]]="","",NOTA[[#This Row],[JUMLAH]]*NOTA[[#This Row],[DISC 1]])</f>
        <v>256250</v>
      </c>
      <c r="Z276" s="50">
        <f>IF(NOTA[[#This Row],[JUMLAH]]="","",(NOTA[[#This Row],[JUMLAH]]-NOTA[[#This Row],[DISC 1-]])*NOTA[[#This Row],[DISC 2]])</f>
        <v>89687.5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345937.5</v>
      </c>
      <c r="AC276" s="50">
        <f>IF(NOTA[[#This Row],[JUMLAH]]="","",NOTA[[#This Row],[JUMLAH]]-NOTA[[#This Row],[DISC]])</f>
        <v>1704062.5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76" s="50">
        <f>IF(OR(NOTA[[#This Row],[QTY]]="",NOTA[[#This Row],[HARGA SATUAN]]="",),"",NOTA[[#This Row],[QTY]]*NOTA[[#This Row],[HARGA SATUAN]])</f>
        <v>2050000</v>
      </c>
      <c r="AI276" s="39">
        <f ca="1">IF(NOTA[ID_H]="","",INDEX(NOTA[TANGGAL],MATCH(,INDIRECT(ADDRESS(ROW(NOTA[TANGGAL]),COLUMN(NOTA[TANGGAL]))&amp;":"&amp;ADDRESS(ROW(),COLUMN(NOTA[TANGGAL]))),-1)))</f>
        <v>45275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1866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100 PAK (10 ROL)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63</v>
      </c>
      <c r="E277" s="46"/>
      <c r="F277" s="37"/>
      <c r="G277" s="37"/>
      <c r="H277" s="47"/>
      <c r="I277" s="37"/>
      <c r="J277" s="39"/>
      <c r="K277" s="37"/>
      <c r="L277" s="37" t="s">
        <v>398</v>
      </c>
      <c r="M277" s="40">
        <v>1</v>
      </c>
      <c r="N277" s="38">
        <v>24</v>
      </c>
      <c r="O277" s="37" t="s">
        <v>152</v>
      </c>
      <c r="P277" s="41">
        <v>16500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396000</v>
      </c>
      <c r="Y277" s="50">
        <f>IF(NOTA[[#This Row],[JUMLAH]]="","",NOTA[[#This Row],[JUMLAH]]*NOTA[[#This Row],[DISC 1]])</f>
        <v>49500</v>
      </c>
      <c r="Z277" s="50">
        <f>IF(NOTA[[#This Row],[JUMLAH]]="","",(NOTA[[#This Row],[JUMLAH]]-NOTA[[#This Row],[DISC 1-]])*NOTA[[#This Row],[DISC 2]])</f>
        <v>17325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66825</v>
      </c>
      <c r="AC277" s="50">
        <f>IF(NOTA[[#This Row],[JUMLAH]]="","",NOTA[[#This Row],[JUMLAH]]-NOTA[[#This Row],[DISC]])</f>
        <v>329175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77" s="50">
        <f>IF(OR(NOTA[[#This Row],[QTY]]="",NOTA[[#This Row],[HARGA SATUAN]]="",),"",NOTA[[#This Row],[QTY]]*NOTA[[#This Row],[HARGA SATUAN]])</f>
        <v>396000</v>
      </c>
      <c r="AI277" s="39">
        <f ca="1">IF(NOTA[ID_H]="","",INDEX(NOTA[TANGGAL],MATCH(,INDIRECT(ADDRESS(ROW(NOTA[TANGGAL]),COLUMN(NOTA[TANGGAL]))&amp;":"&amp;ADDRESS(ROW(),COLUMN(NOTA[TANGGAL]))),-1)))</f>
        <v>45275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2923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63</v>
      </c>
      <c r="E278" s="46"/>
      <c r="F278" s="37"/>
      <c r="G278" s="37"/>
      <c r="H278" s="47"/>
      <c r="I278" s="37"/>
      <c r="J278" s="39"/>
      <c r="K278" s="37"/>
      <c r="L278" s="37" t="s">
        <v>399</v>
      </c>
      <c r="M278" s="40">
        <v>1</v>
      </c>
      <c r="N278" s="38">
        <v>24</v>
      </c>
      <c r="O278" s="37" t="s">
        <v>152</v>
      </c>
      <c r="P278" s="41">
        <v>22500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540000</v>
      </c>
      <c r="Y278" s="50">
        <f>IF(NOTA[[#This Row],[JUMLAH]]="","",NOTA[[#This Row],[JUMLAH]]*NOTA[[#This Row],[DISC 1]])</f>
        <v>67500</v>
      </c>
      <c r="Z278" s="50">
        <f>IF(NOTA[[#This Row],[JUMLAH]]="","",(NOTA[[#This Row],[JUMLAH]]-NOTA[[#This Row],[DISC 1-]])*NOTA[[#This Row],[DISC 2]])</f>
        <v>23625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91125</v>
      </c>
      <c r="AC278" s="50">
        <f>IF(NOTA[[#This Row],[JUMLAH]]="","",NOTA[[#This Row],[JUMLAH]]-NOTA[[#This Row],[DISC]])</f>
        <v>448875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737167.5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3631232.5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78" s="50">
        <f>IF(OR(NOTA[[#This Row],[QTY]]="",NOTA[[#This Row],[HARGA SATUAN]]="",),"",NOTA[[#This Row],[QTY]]*NOTA[[#This Row],[HARGA SATUAN]])</f>
        <v>540000</v>
      </c>
      <c r="AI278" s="39">
        <f ca="1">IF(NOTA[ID_H]="","",INDEX(NOTA[TANGGAL],MATCH(,INDIRECT(ADDRESS(ROW(NOTA[TANGGAL]),COLUMN(NOTA[TANGGAL]))&amp;":"&amp;ADDRESS(ROW(),COLUMN(NOTA[TANGGAL]))),-1)))</f>
        <v>45275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2928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24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ATA_1512_566-11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64</v>
      </c>
      <c r="E280" s="46">
        <v>45275</v>
      </c>
      <c r="F280" s="37" t="s">
        <v>24</v>
      </c>
      <c r="G280" s="37" t="s">
        <v>23</v>
      </c>
      <c r="H280" s="47" t="s">
        <v>400</v>
      </c>
      <c r="I280" s="37"/>
      <c r="J280" s="39">
        <v>45271</v>
      </c>
      <c r="K280" s="37"/>
      <c r="L280" s="37" t="s">
        <v>401</v>
      </c>
      <c r="M280" s="40">
        <v>3</v>
      </c>
      <c r="N280" s="38">
        <v>432</v>
      </c>
      <c r="O280" s="37" t="s">
        <v>130</v>
      </c>
      <c r="P280" s="41">
        <v>19800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8553600</v>
      </c>
      <c r="Y280" s="50">
        <f>IF(NOTA[[#This Row],[JUMLAH]]="","",NOTA[[#This Row],[JUMLAH]]*NOTA[[#This Row],[DISC 1]])</f>
        <v>1069200</v>
      </c>
      <c r="Z280" s="50">
        <f>IF(NOTA[[#This Row],[JUMLAH]]="","",(NOTA[[#This Row],[JUMLAH]]-NOTA[[#This Row],[DISC 1-]])*NOTA[[#This Row],[DISC 2]])</f>
        <v>374220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1443420</v>
      </c>
      <c r="AC280" s="50">
        <f>IF(NOTA[[#This Row],[JUMLAH]]="","",NOTA[[#This Row],[JUMLAH]]-NOTA[[#This Row],[DISC]])</f>
        <v>7110180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80" s="50">
        <f>IF(OR(NOTA[[#This Row],[QTY]]="",NOTA[[#This Row],[HARGA SATUAN]]="",),"",NOTA[[#This Row],[QTY]]*NOTA[[#This Row],[HARGA SATUAN]])</f>
        <v>8553600</v>
      </c>
      <c r="AI280" s="39">
        <f ca="1">IF(NOTA[ID_H]="","",INDEX(NOTA[TANGGAL],MATCH(,INDIRECT(ADDRESS(ROW(NOTA[TANGGAL]),COLUMN(NOTA[TANGGAL]))&amp;":"&amp;ADDRESS(ROW(),COLUMN(NOTA[TANGGAL]))),-1)))</f>
        <v>45275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11</v>
      </c>
      <c r="AM280" s="38">
        <f>IF(NOTA[[#This Row],[TGL.NOTA]]="",IF(NOTA[[#This Row],[SUPPLIER_H]]="","",AM279),MONTH(NOTA[[#This Row],[TGL.NOTA]]))</f>
        <v>12</v>
      </c>
      <c r="AN2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MOROSA23122156645271pencilleadpl10202bjk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2491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12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64</v>
      </c>
      <c r="E281" s="46"/>
      <c r="F281" s="37"/>
      <c r="G281" s="37"/>
      <c r="H281" s="47"/>
      <c r="I281" s="37"/>
      <c r="J281" s="39"/>
      <c r="K281" s="37"/>
      <c r="L281" s="37" t="s">
        <v>191</v>
      </c>
      <c r="M281" s="40">
        <v>3</v>
      </c>
      <c r="N281" s="38">
        <v>216</v>
      </c>
      <c r="O281" s="37" t="s">
        <v>130</v>
      </c>
      <c r="P281" s="41">
        <v>37200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8035200</v>
      </c>
      <c r="Y281" s="50">
        <f>IF(NOTA[[#This Row],[JUMLAH]]="","",NOTA[[#This Row],[JUMLAH]]*NOTA[[#This Row],[DISC 1]])</f>
        <v>1004400</v>
      </c>
      <c r="Z281" s="50">
        <f>IF(NOTA[[#This Row],[JUMLAH]]="","",(NOTA[[#This Row],[JUMLAH]]-NOTA[[#This Row],[DISC 1-]])*NOTA[[#This Row],[DISC 2]])</f>
        <v>351540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1355940</v>
      </c>
      <c r="AC281" s="50">
        <f>IF(NOTA[[#This Row],[JUMLAH]]="","",NOTA[[#This Row],[JUMLAH]]-NOTA[[#This Row],[DISC]])</f>
        <v>6679260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1" s="50">
        <f>IF(OR(NOTA[[#This Row],[QTY]]="",NOTA[[#This Row],[HARGA SATUAN]]="",),"",NOTA[[#This Row],[QTY]]*NOTA[[#This Row],[HARGA SATUAN]])</f>
        <v>8035200</v>
      </c>
      <c r="AI281" s="39">
        <f ca="1">IF(NOTA[ID_H]="","",INDEX(NOTA[TANGGAL],MATCH(,INDIRECT(ADDRESS(ROW(NOTA[TANGGAL]),COLUMN(NOTA[TANGGAL]))&amp;":"&amp;ADDRESS(ROW(),COLUMN(NOTA[TANGGAL]))),-1)))</f>
        <v>45275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12</v>
      </c>
      <c r="AN2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2492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12 BOX (72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64</v>
      </c>
      <c r="E282" s="46"/>
      <c r="F282" s="37"/>
      <c r="G282" s="37"/>
      <c r="H282" s="47"/>
      <c r="I282" s="37"/>
      <c r="J282" s="39"/>
      <c r="K282" s="37"/>
      <c r="L282" s="37" t="s">
        <v>402</v>
      </c>
      <c r="M282" s="40">
        <v>3</v>
      </c>
      <c r="N282" s="38">
        <v>36</v>
      </c>
      <c r="O282" s="37" t="s">
        <v>182</v>
      </c>
      <c r="P282" s="41">
        <v>198000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50">
        <f>IF(NOTA[[#This Row],[HARGA/ CTN]]="",NOTA[[#This Row],[JUMLAH_H]],NOTA[[#This Row],[HARGA/ CTN]]*IF(NOTA[[#This Row],[C]]="",0,NOTA[[#This Row],[C]]))</f>
        <v>7128000</v>
      </c>
      <c r="Y282" s="50">
        <f>IF(NOTA[[#This Row],[JUMLAH]]="","",NOTA[[#This Row],[JUMLAH]]*NOTA[[#This Row],[DISC 1]])</f>
        <v>891000</v>
      </c>
      <c r="Z282" s="50">
        <f>IF(NOTA[[#This Row],[JUMLAH]]="","",(NOTA[[#This Row],[JUMLAH]]-NOTA[[#This Row],[DISC 1-]])*NOTA[[#This Row],[DISC 2]])</f>
        <v>311850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1202850</v>
      </c>
      <c r="AC282" s="50">
        <f>IF(NOTA[[#This Row],[JUMLAH]]="","",NOTA[[#This Row],[JUMLAH]]-NOTA[[#This Row],[DISC]])</f>
        <v>5925150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82" s="50">
        <f>IF(OR(NOTA[[#This Row],[QTY]]="",NOTA[[#This Row],[HARGA SATUAN]]="",),"",NOTA[[#This Row],[QTY]]*NOTA[[#This Row],[HARGA SATUAN]])</f>
        <v>7128000</v>
      </c>
      <c r="AI282" s="39">
        <f ca="1">IF(NOTA[ID_H]="","",INDEX(NOTA[TANGGAL],MATCH(,INDIRECT(ADDRESS(ROW(NOTA[TANGGAL]),COLUMN(NOTA[TANGGAL]))&amp;":"&amp;ADDRESS(ROW(),COLUMN(NOTA[TANGGAL]))),-1)))</f>
        <v>45275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12</v>
      </c>
      <c r="AN28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2493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12 GRS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64</v>
      </c>
      <c r="E283" s="46"/>
      <c r="F283" s="37"/>
      <c r="G283" s="37"/>
      <c r="H283" s="47"/>
      <c r="I283" s="37"/>
      <c r="J283" s="39"/>
      <c r="K283" s="37"/>
      <c r="L283" s="37" t="s">
        <v>190</v>
      </c>
      <c r="M283" s="40">
        <v>1</v>
      </c>
      <c r="N283" s="38">
        <v>50</v>
      </c>
      <c r="O283" s="37" t="s">
        <v>175</v>
      </c>
      <c r="P283" s="41">
        <v>28300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1415000</v>
      </c>
      <c r="Y283" s="50">
        <f>IF(NOTA[[#This Row],[JUMLAH]]="","",NOTA[[#This Row],[JUMLAH]]*NOTA[[#This Row],[DISC 1]])</f>
        <v>176875</v>
      </c>
      <c r="Z283" s="50">
        <f>IF(NOTA[[#This Row],[JUMLAH]]="","",(NOTA[[#This Row],[JUMLAH]]-NOTA[[#This Row],[DISC 1-]])*NOTA[[#This Row],[DISC 2]])</f>
        <v>61906.25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238781.25</v>
      </c>
      <c r="AC283" s="50">
        <f>IF(NOTA[[#This Row],[JUMLAH]]="","",NOTA[[#This Row],[JUMLAH]]-NOTA[[#This Row],[DISC]])</f>
        <v>1176218.75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3" s="50">
        <f>IF(OR(NOTA[[#This Row],[QTY]]="",NOTA[[#This Row],[HARGA SATUAN]]="",),"",NOTA[[#This Row],[QTY]]*NOTA[[#This Row],[HARGA SATUAN]])</f>
        <v>1415000</v>
      </c>
      <c r="AI283" s="39">
        <f ca="1">IF(NOTA[ID_H]="","",INDEX(NOTA[TANGGAL],MATCH(,INDIRECT(ADDRESS(ROW(NOTA[TANGGAL]),COLUMN(NOTA[TANGGAL]))&amp;":"&amp;ADDRESS(ROW(),COLUMN(NOTA[TANGGAL]))),-1)))</f>
        <v>45275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12</v>
      </c>
      <c r="AN28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963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50 BOX (40 PCS)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64</v>
      </c>
      <c r="E284" s="46"/>
      <c r="F284" s="37"/>
      <c r="G284" s="37"/>
      <c r="H284" s="47"/>
      <c r="I284" s="37"/>
      <c r="J284" s="39"/>
      <c r="K284" s="37"/>
      <c r="L284" s="37" t="s">
        <v>189</v>
      </c>
      <c r="M284" s="40">
        <v>1</v>
      </c>
      <c r="N284" s="38">
        <v>50</v>
      </c>
      <c r="O284" s="37" t="s">
        <v>175</v>
      </c>
      <c r="P284" s="41">
        <v>28300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1415000</v>
      </c>
      <c r="Y284" s="50">
        <f>IF(NOTA[[#This Row],[JUMLAH]]="","",NOTA[[#This Row],[JUMLAH]]*NOTA[[#This Row],[DISC 1]])</f>
        <v>176875</v>
      </c>
      <c r="Z284" s="50">
        <f>IF(NOTA[[#This Row],[JUMLAH]]="","",(NOTA[[#This Row],[JUMLAH]]-NOTA[[#This Row],[DISC 1-]])*NOTA[[#This Row],[DISC 2]])</f>
        <v>61906.25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238781.25</v>
      </c>
      <c r="AC284" s="50">
        <f>IF(NOTA[[#This Row],[JUMLAH]]="","",NOTA[[#This Row],[JUMLAH]]-NOTA[[#This Row],[DISC]])</f>
        <v>1176218.75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4" s="50">
        <f>IF(OR(NOTA[[#This Row],[QTY]]="",NOTA[[#This Row],[HARGA SATUAN]]="",),"",NOTA[[#This Row],[QTY]]*NOTA[[#This Row],[HARGA SATUAN]])</f>
        <v>1415000</v>
      </c>
      <c r="AI284" s="39">
        <f ca="1">IF(NOTA[ID_H]="","",INDEX(NOTA[TANGGAL],MATCH(,INDIRECT(ADDRESS(ROW(NOTA[TANGGAL]),COLUMN(NOTA[TANGGAL]))&amp;":"&amp;ADDRESS(ROW(),COLUMN(NOTA[TANGGAL]))),-1)))</f>
        <v>45275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12</v>
      </c>
      <c r="AN28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961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50 BOX (40 PCS)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64</v>
      </c>
      <c r="E285" s="46"/>
      <c r="F285" s="37"/>
      <c r="G285" s="37"/>
      <c r="H285" s="47"/>
      <c r="I285" s="37"/>
      <c r="J285" s="39"/>
      <c r="K285" s="37"/>
      <c r="L285" s="37" t="s">
        <v>403</v>
      </c>
      <c r="M285" s="40">
        <v>1</v>
      </c>
      <c r="N285" s="38">
        <v>50</v>
      </c>
      <c r="O285" s="37" t="s">
        <v>175</v>
      </c>
      <c r="P285" s="41">
        <v>34100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1705000</v>
      </c>
      <c r="Y285" s="50">
        <f>IF(NOTA[[#This Row],[JUMLAH]]="","",NOTA[[#This Row],[JUMLAH]]*NOTA[[#This Row],[DISC 1]])</f>
        <v>213125</v>
      </c>
      <c r="Z285" s="50">
        <f>IF(NOTA[[#This Row],[JUMLAH]]="","",(NOTA[[#This Row],[JUMLAH]]-NOTA[[#This Row],[DISC 1-]])*NOTA[[#This Row],[DISC 2]])</f>
        <v>74593.75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287718.75</v>
      </c>
      <c r="AC285" s="50">
        <f>IF(NOTA[[#This Row],[JUMLAH]]="","",NOTA[[#This Row],[JUMLAH]]-NOTA[[#This Row],[DISC]])</f>
        <v>1417281.25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5" s="50">
        <f>IF(OR(NOTA[[#This Row],[QTY]]="",NOTA[[#This Row],[HARGA SATUAN]]="",),"",NOTA[[#This Row],[QTY]]*NOTA[[#This Row],[HARGA SATUAN]])</f>
        <v>1705000</v>
      </c>
      <c r="AI285" s="39">
        <f ca="1">IF(NOTA[ID_H]="","",INDEX(NOTA[TANGGAL],MATCH(,INDIRECT(ADDRESS(ROW(NOTA[TANGGAL]),COLUMN(NOTA[TANGGAL]))&amp;":"&amp;ADDRESS(ROW(),COLUMN(NOTA[TANGGAL]))),-1)))</f>
        <v>45275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12</v>
      </c>
      <c r="AN28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960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50 BOX (20 PCS)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64</v>
      </c>
      <c r="E286" s="46"/>
      <c r="F286" s="37"/>
      <c r="G286" s="37"/>
      <c r="H286" s="47"/>
      <c r="I286" s="37"/>
      <c r="J286" s="39"/>
      <c r="K286" s="37"/>
      <c r="L286" s="37" t="s">
        <v>404</v>
      </c>
      <c r="M286" s="40">
        <v>1</v>
      </c>
      <c r="N286" s="38">
        <v>50</v>
      </c>
      <c r="O286" s="37" t="s">
        <v>175</v>
      </c>
      <c r="P286" s="41">
        <v>34100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1705000</v>
      </c>
      <c r="Y286" s="50">
        <f>IF(NOTA[[#This Row],[JUMLAH]]="","",NOTA[[#This Row],[JUMLAH]]*NOTA[[#This Row],[DISC 1]])</f>
        <v>213125</v>
      </c>
      <c r="Z286" s="50">
        <f>IF(NOTA[[#This Row],[JUMLAH]]="","",(NOTA[[#This Row],[JUMLAH]]-NOTA[[#This Row],[DISC 1-]])*NOTA[[#This Row],[DISC 2]])</f>
        <v>74593.75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287718.75</v>
      </c>
      <c r="AC286" s="50">
        <f>IF(NOTA[[#This Row],[JUMLAH]]="","",NOTA[[#This Row],[JUMLAH]]-NOTA[[#This Row],[DISC]])</f>
        <v>1417281.25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6" s="50">
        <f>IF(OR(NOTA[[#This Row],[QTY]]="",NOTA[[#This Row],[HARGA SATUAN]]="",),"",NOTA[[#This Row],[QTY]]*NOTA[[#This Row],[HARGA SATUAN]])</f>
        <v>1705000</v>
      </c>
      <c r="AI286" s="39">
        <f ca="1">IF(NOTA[ID_H]="","",INDEX(NOTA[TANGGAL],MATCH(,INDIRECT(ADDRESS(ROW(NOTA[TANGGAL]),COLUMN(NOTA[TANGGAL]))&amp;":"&amp;ADDRESS(ROW(),COLUMN(NOTA[TANGGAL]))),-1)))</f>
        <v>45275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12</v>
      </c>
      <c r="AN28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973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50 BOX (20 PCS)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64</v>
      </c>
      <c r="E287" s="46"/>
      <c r="F287" s="37"/>
      <c r="G287" s="37"/>
      <c r="H287" s="47"/>
      <c r="I287" s="37"/>
      <c r="J287" s="39"/>
      <c r="K287" s="37"/>
      <c r="L287" s="37" t="s">
        <v>407</v>
      </c>
      <c r="M287" s="40">
        <v>2</v>
      </c>
      <c r="N287" s="38">
        <v>1728</v>
      </c>
      <c r="O287" s="37" t="s">
        <v>152</v>
      </c>
      <c r="P287" s="41">
        <v>2450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4233600</v>
      </c>
      <c r="Y287" s="50">
        <f>IF(NOTA[[#This Row],[JUMLAH]]="","",NOTA[[#This Row],[JUMLAH]]*NOTA[[#This Row],[DISC 1]])</f>
        <v>529200</v>
      </c>
      <c r="Z287" s="50">
        <f>IF(NOTA[[#This Row],[JUMLAH]]="","",(NOTA[[#This Row],[JUMLAH]]-NOTA[[#This Row],[DISC 1-]])*NOTA[[#This Row],[DISC 2]])</f>
        <v>185220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714420</v>
      </c>
      <c r="AC287" s="50">
        <f>IF(NOTA[[#This Row],[JUMLAH]]="","",NOTA[[#This Row],[JUMLAH]]-NOTA[[#This Row],[DISC]])</f>
        <v>3519180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87" s="50">
        <f>IF(OR(NOTA[[#This Row],[QTY]]="",NOTA[[#This Row],[HARGA SATUAN]]="",),"",NOTA[[#This Row],[QTY]]*NOTA[[#This Row],[HARGA SATUAN]])</f>
        <v>4233600</v>
      </c>
      <c r="AI287" s="39">
        <f ca="1">IF(NOTA[ID_H]="","",INDEX(NOTA[TANGGAL],MATCH(,INDIRECT(ADDRESS(ROW(NOTA[TANGGAL]),COLUMN(NOTA[TANGGAL]))&amp;":"&amp;ADDRESS(ROW(),COLUMN(NOTA[TANGGAL]))),-1)))</f>
        <v>45275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12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1341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36 BOX (24 PCS)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64</v>
      </c>
      <c r="E288" s="46"/>
      <c r="F288" s="37"/>
      <c r="G288" s="37"/>
      <c r="H288" s="47"/>
      <c r="I288" s="37"/>
      <c r="J288" s="39"/>
      <c r="K288" s="37"/>
      <c r="L288" s="37" t="s">
        <v>405</v>
      </c>
      <c r="M288" s="40">
        <v>2</v>
      </c>
      <c r="N288" s="38">
        <v>576</v>
      </c>
      <c r="O288" s="37" t="s">
        <v>152</v>
      </c>
      <c r="P288" s="41">
        <v>2150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1238400</v>
      </c>
      <c r="Y288" s="50">
        <f>IF(NOTA[[#This Row],[JUMLAH]]="","",NOTA[[#This Row],[JUMLAH]]*NOTA[[#This Row],[DISC 1]])</f>
        <v>154800</v>
      </c>
      <c r="Z288" s="50">
        <f>IF(NOTA[[#This Row],[JUMLAH]]="","",(NOTA[[#This Row],[JUMLAH]]-NOTA[[#This Row],[DISC 1-]])*NOTA[[#This Row],[DISC 2]])</f>
        <v>54180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208980</v>
      </c>
      <c r="AC288" s="50">
        <f>IF(NOTA[[#This Row],[JUMLAH]]="","",NOTA[[#This Row],[JUMLAH]]-NOTA[[#This Row],[DISC]])</f>
        <v>1029420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288" s="50">
        <f>IF(OR(NOTA[[#This Row],[QTY]]="",NOTA[[#This Row],[HARGA SATUAN]]="",),"",NOTA[[#This Row],[QTY]]*NOTA[[#This Row],[HARGA SATUAN]])</f>
        <v>1238400</v>
      </c>
      <c r="AI288" s="39">
        <f ca="1">IF(NOTA[ID_H]="","",INDEX(NOTA[TANGGAL],MATCH(,INDIRECT(ADDRESS(ROW(NOTA[TANGGAL]),COLUMN(NOTA[TANGGAL]))&amp;":"&amp;ADDRESS(ROW(),COLUMN(NOTA[TANGGAL]))),-1)))</f>
        <v>45275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12</v>
      </c>
      <c r="AN28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1328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24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64</v>
      </c>
      <c r="E289" s="46"/>
      <c r="F289" s="37"/>
      <c r="G289" s="37"/>
      <c r="H289" s="47"/>
      <c r="I289" s="37"/>
      <c r="J289" s="39"/>
      <c r="K289" s="37"/>
      <c r="L289" s="37" t="s">
        <v>303</v>
      </c>
      <c r="M289" s="40">
        <v>2</v>
      </c>
      <c r="N289" s="38">
        <v>192</v>
      </c>
      <c r="O289" s="37" t="s">
        <v>284</v>
      </c>
      <c r="P289" s="41">
        <v>7000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1344000</v>
      </c>
      <c r="Y289" s="50">
        <f>IF(NOTA[[#This Row],[JUMLAH]]="","",NOTA[[#This Row],[JUMLAH]]*NOTA[[#This Row],[DISC 1]])</f>
        <v>168000</v>
      </c>
      <c r="Z289" s="50">
        <f>IF(NOTA[[#This Row],[JUMLAH]]="","",(NOTA[[#This Row],[JUMLAH]]-NOTA[[#This Row],[DISC 1-]])*NOTA[[#This Row],[DISC 2]])</f>
        <v>58800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226800</v>
      </c>
      <c r="AC289" s="50">
        <f>IF(NOTA[[#This Row],[JUMLAH]]="","",NOTA[[#This Row],[JUMLAH]]-NOTA[[#This Row],[DISC]])</f>
        <v>1117200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289" s="50">
        <f>IF(OR(NOTA[[#This Row],[QTY]]="",NOTA[[#This Row],[HARGA SATUAN]]="",),"",NOTA[[#This Row],[QTY]]*NOTA[[#This Row],[HARGA SATUAN]])</f>
        <v>1344000</v>
      </c>
      <c r="AI289" s="39">
        <f ca="1">IF(NOTA[ID_H]="","",INDEX(NOTA[TANGGAL],MATCH(,INDIRECT(ADDRESS(ROW(NOTA[TANGGAL]),COLUMN(NOTA[TANGGAL]))&amp;":"&amp;ADDRESS(ROW(),COLUMN(NOTA[TANGGAL]))),-1)))</f>
        <v>45275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12</v>
      </c>
      <c r="AN289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1951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96 PAK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64</v>
      </c>
      <c r="E290" s="46"/>
      <c r="F290" s="37"/>
      <c r="G290" s="37"/>
      <c r="H290" s="47"/>
      <c r="I290" s="37"/>
      <c r="J290" s="39"/>
      <c r="K290" s="37"/>
      <c r="L290" s="37" t="s">
        <v>406</v>
      </c>
      <c r="M290" s="40">
        <v>1</v>
      </c>
      <c r="N290" s="38">
        <v>80</v>
      </c>
      <c r="O290" s="37" t="s">
        <v>284</v>
      </c>
      <c r="P290" s="41">
        <v>10800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864000</v>
      </c>
      <c r="Y290" s="50">
        <f>IF(NOTA[[#This Row],[JUMLAH]]="","",NOTA[[#This Row],[JUMLAH]]*NOTA[[#This Row],[DISC 1]])</f>
        <v>108000</v>
      </c>
      <c r="Z290" s="50">
        <f>IF(NOTA[[#This Row],[JUMLAH]]="","",(NOTA[[#This Row],[JUMLAH]]-NOTA[[#This Row],[DISC 1-]])*NOTA[[#This Row],[DISC 2]])</f>
        <v>37800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145800</v>
      </c>
      <c r="AC290" s="50">
        <f>IF(NOTA[[#This Row],[JUMLAH]]="","",NOTA[[#This Row],[JUMLAH]]-NOTA[[#This Row],[DISC]])</f>
        <v>718200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6351210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31285590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90" s="50">
        <f>IF(OR(NOTA[[#This Row],[QTY]]="",NOTA[[#This Row],[HARGA SATUAN]]="",),"",NOTA[[#This Row],[QTY]]*NOTA[[#This Row],[HARGA SATUAN]])</f>
        <v>864000</v>
      </c>
      <c r="AI290" s="39">
        <f ca="1">IF(NOTA[ID_H]="","",INDEX(NOTA[TANGGAL],MATCH(,INDIRECT(ADDRESS(ROW(NOTA[TANGGAL]),COLUMN(NOTA[TANGGAL]))&amp;":"&amp;ADDRESS(ROW(),COLUMN(NOTA[TANGGAL]))),-1)))</f>
        <v>45275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12</v>
      </c>
      <c r="AN290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1959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80 PAK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ATA_1512_565-11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65</v>
      </c>
      <c r="E292" s="46">
        <v>45275</v>
      </c>
      <c r="F292" s="37" t="s">
        <v>24</v>
      </c>
      <c r="G292" s="37" t="s">
        <v>23</v>
      </c>
      <c r="H292" s="47" t="s">
        <v>408</v>
      </c>
      <c r="I292" s="37"/>
      <c r="J292" s="39">
        <v>45271</v>
      </c>
      <c r="K292" s="37"/>
      <c r="L292" s="37" t="s">
        <v>323</v>
      </c>
      <c r="M292" s="40">
        <v>2</v>
      </c>
      <c r="N292" s="38">
        <v>1440</v>
      </c>
      <c r="O292" s="37" t="s">
        <v>152</v>
      </c>
      <c r="P292" s="41">
        <v>4600</v>
      </c>
      <c r="Q292" s="42"/>
      <c r="R292" s="48"/>
      <c r="S292" s="49">
        <v>0.125</v>
      </c>
      <c r="T292" s="44">
        <v>0.1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6624000</v>
      </c>
      <c r="Y292" s="50">
        <f>IF(NOTA[[#This Row],[JUMLAH]]="","",NOTA[[#This Row],[JUMLAH]]*NOTA[[#This Row],[DISC 1]])</f>
        <v>828000</v>
      </c>
      <c r="Z292" s="50">
        <f>IF(NOTA[[#This Row],[JUMLAH]]="","",(NOTA[[#This Row],[JUMLAH]]-NOTA[[#This Row],[DISC 1-]])*NOTA[[#This Row],[DISC 2]])</f>
        <v>579600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1407600</v>
      </c>
      <c r="AC292" s="50">
        <f>IF(NOTA[[#This Row],[JUMLAH]]="","",NOTA[[#This Row],[JUMLAH]]-NOTA[[#This Row],[DISC]])</f>
        <v>5216400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92" s="50">
        <f>IF(OR(NOTA[[#This Row],[QTY]]="",NOTA[[#This Row],[HARGA SATUAN]]="",),"",NOTA[[#This Row],[QTY]]*NOTA[[#This Row],[HARGA SATUAN]])</f>
        <v>6624000</v>
      </c>
      <c r="AI292" s="39">
        <f ca="1">IF(NOTA[ID_H]="","",INDEX(NOTA[TANGGAL],MATCH(,INDIRECT(ADDRESS(ROW(NOTA[TANGGAL]),COLUMN(NOTA[TANGGAL]))&amp;":"&amp;ADDRESS(ROW(),COLUMN(NOTA[TANGGAL]))),-1)))</f>
        <v>45275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>
        <f ca="1">IF(NOTA[[#This Row],[ID]]="","",COUNTIF(NOTA[ID_H],NOTA[[#This Row],[ID_H]]))</f>
        <v>11</v>
      </c>
      <c r="AM292" s="38">
        <f>IF(NOTA[[#This Row],[TGL.NOTA]]="",IF(NOTA[[#This Row],[SUPPLIER_H]]="","",AM291),MONTH(NOTA[[#This Row],[TGL.NOTA]]))</f>
        <v>12</v>
      </c>
      <c r="AN292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MOROSA23122156545271correctiontapect507jk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727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60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65</v>
      </c>
      <c r="E293" s="46"/>
      <c r="F293" s="37"/>
      <c r="G293" s="37"/>
      <c r="H293" s="47"/>
      <c r="I293" s="37"/>
      <c r="J293" s="39"/>
      <c r="K293" s="37"/>
      <c r="L293" s="37" t="s">
        <v>409</v>
      </c>
      <c r="M293" s="40">
        <v>2</v>
      </c>
      <c r="N293" s="38">
        <v>288</v>
      </c>
      <c r="O293" s="37" t="s">
        <v>130</v>
      </c>
      <c r="P293" s="41">
        <v>6900</v>
      </c>
      <c r="Q293" s="42"/>
      <c r="R293" s="48"/>
      <c r="S293" s="49">
        <v>0.125</v>
      </c>
      <c r="T293" s="44">
        <v>0.1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1987200</v>
      </c>
      <c r="Y293" s="50">
        <f>IF(NOTA[[#This Row],[JUMLAH]]="","",NOTA[[#This Row],[JUMLAH]]*NOTA[[#This Row],[DISC 1]])</f>
        <v>248400</v>
      </c>
      <c r="Z293" s="50">
        <f>IF(NOTA[[#This Row],[JUMLAH]]="","",(NOTA[[#This Row],[JUMLAH]]-NOTA[[#This Row],[DISC 1-]])*NOTA[[#This Row],[DISC 2]])</f>
        <v>173880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422280</v>
      </c>
      <c r="AC293" s="50">
        <f>IF(NOTA[[#This Row],[JUMLAH]]="","",NOTA[[#This Row],[JUMLAH]]-NOTA[[#This Row],[DISC]])</f>
        <v>1564920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H293" s="50">
        <f>IF(OR(NOTA[[#This Row],[QTY]]="",NOTA[[#This Row],[HARGA SATUAN]]="",),"",NOTA[[#This Row],[QTY]]*NOTA[[#This Row],[HARGA SATUAN]])</f>
        <v>1987200</v>
      </c>
      <c r="AI293" s="39">
        <f ca="1">IF(NOTA[ID_H]="","",INDEX(NOTA[TANGGAL],MATCH(,INDIRECT(ADDRESS(ROW(NOTA[TANGGAL]),COLUMN(NOTA[TANGGAL]))&amp;":"&amp;ADDRESS(ROW(),COLUMN(NOTA[TANGGAL]))),-1)))</f>
        <v>45275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12</v>
      </c>
      <c r="AN293" s="38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ballpenbp249linoblackjk9936000.1250.1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ballpenbp249linoblackjk9936000.1250.1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118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144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ballpenbp249linoblackjk144lsnartomoro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65</v>
      </c>
      <c r="E294" s="46"/>
      <c r="F294" s="37"/>
      <c r="G294" s="37"/>
      <c r="H294" s="47"/>
      <c r="I294" s="37"/>
      <c r="J294" s="39"/>
      <c r="K294" s="37"/>
      <c r="L294" s="37" t="s">
        <v>410</v>
      </c>
      <c r="M294" s="40">
        <v>2</v>
      </c>
      <c r="N294" s="38">
        <v>288</v>
      </c>
      <c r="O294" s="37" t="s">
        <v>130</v>
      </c>
      <c r="P294" s="41">
        <v>7020</v>
      </c>
      <c r="Q294" s="42"/>
      <c r="R294" s="48"/>
      <c r="S294" s="49">
        <v>0.125</v>
      </c>
      <c r="T294" s="44">
        <v>0.1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2021760</v>
      </c>
      <c r="Y294" s="50">
        <f>IF(NOTA[[#This Row],[JUMLAH]]="","",NOTA[[#This Row],[JUMLAH]]*NOTA[[#This Row],[DISC 1]])</f>
        <v>252720</v>
      </c>
      <c r="Z294" s="50">
        <f>IF(NOTA[[#This Row],[JUMLAH]]="","",(NOTA[[#This Row],[JUMLAH]]-NOTA[[#This Row],[DISC 1-]])*NOTA[[#This Row],[DISC 2]])</f>
        <v>176904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429624</v>
      </c>
      <c r="AC294" s="50">
        <f>IF(NOTA[[#This Row],[JUMLAH]]="","",NOTA[[#This Row],[JUMLAH]]-NOTA[[#This Row],[DISC]])</f>
        <v>1592136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94" s="50">
        <f>IF(OR(NOTA[[#This Row],[QTY]]="",NOTA[[#This Row],[HARGA SATUAN]]="",),"",NOTA[[#This Row],[QTY]]*NOTA[[#This Row],[HARGA SATUAN]])</f>
        <v>2021760</v>
      </c>
      <c r="AI294" s="39">
        <f ca="1">IF(NOTA[ID_H]="","",INDEX(NOTA[TANGGAL],MATCH(,INDIRECT(ADDRESS(ROW(NOTA[TANGGAL]),COLUMN(NOTA[TANGGAL]))&amp;":"&amp;ADDRESS(ROW(),COLUMN(NOTA[TANGGAL]))),-1)))</f>
        <v>45275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12</v>
      </c>
      <c r="AN294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ballpenbp250brizblackjk10108800.1250.1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ballpenbp250brizblackjk10108800.1250.1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120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144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65</v>
      </c>
      <c r="E295" s="46"/>
      <c r="F295" s="37"/>
      <c r="G295" s="37"/>
      <c r="H295" s="47"/>
      <c r="I295" s="37"/>
      <c r="J295" s="39"/>
      <c r="K295" s="37"/>
      <c r="L295" s="37" t="s">
        <v>391</v>
      </c>
      <c r="M295" s="40">
        <v>2</v>
      </c>
      <c r="N295" s="38">
        <v>288</v>
      </c>
      <c r="O295" s="37" t="s">
        <v>130</v>
      </c>
      <c r="P295" s="41">
        <v>13200</v>
      </c>
      <c r="Q295" s="42"/>
      <c r="R295" s="48"/>
      <c r="S295" s="49">
        <v>0.125</v>
      </c>
      <c r="T295" s="44">
        <v>0.1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3801600</v>
      </c>
      <c r="Y295" s="50">
        <f>IF(NOTA[[#This Row],[JUMLAH]]="","",NOTA[[#This Row],[JUMLAH]]*NOTA[[#This Row],[DISC 1]])</f>
        <v>475200</v>
      </c>
      <c r="Z295" s="50">
        <f>IF(NOTA[[#This Row],[JUMLAH]]="","",(NOTA[[#This Row],[JUMLAH]]-NOTA[[#This Row],[DISC 1-]])*NOTA[[#This Row],[DISC 2]])</f>
        <v>332640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807840</v>
      </c>
      <c r="AC295" s="50">
        <f>IF(NOTA[[#This Row],[JUMLAH]]="","",NOTA[[#This Row],[JUMLAH]]-NOTA[[#This Row],[DISC]])</f>
        <v>2993760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295" s="50">
        <f>IF(OR(NOTA[[#This Row],[QTY]]="",NOTA[[#This Row],[HARGA SATUAN]]="",),"",NOTA[[#This Row],[QTY]]*NOTA[[#This Row],[HARGA SATUAN]])</f>
        <v>3801600</v>
      </c>
      <c r="AI295" s="39">
        <f ca="1">IF(NOTA[ID_H]="","",INDEX(NOTA[TANGGAL],MATCH(,INDIRECT(ADDRESS(ROW(NOTA[TANGGAL]),COLUMN(NOTA[TANGGAL]))&amp;":"&amp;ADDRESS(ROW(),COLUMN(NOTA[TANGGAL]))),-1)))</f>
        <v>45275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12</v>
      </c>
      <c r="AN29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132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144 LSN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65</v>
      </c>
      <c r="E296" s="46"/>
      <c r="F296" s="37"/>
      <c r="G296" s="37"/>
      <c r="H296" s="47"/>
      <c r="I296" s="37"/>
      <c r="J296" s="39"/>
      <c r="K296" s="37"/>
      <c r="L296" s="37" t="s">
        <v>324</v>
      </c>
      <c r="M296" s="40">
        <v>2</v>
      </c>
      <c r="N296" s="38">
        <v>288</v>
      </c>
      <c r="O296" s="37" t="s">
        <v>130</v>
      </c>
      <c r="P296" s="41">
        <v>28200</v>
      </c>
      <c r="Q296" s="42"/>
      <c r="R296" s="48"/>
      <c r="S296" s="49">
        <v>0.125</v>
      </c>
      <c r="T296" s="44">
        <v>0.1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8121600</v>
      </c>
      <c r="Y296" s="50">
        <f>IF(NOTA[[#This Row],[JUMLAH]]="","",NOTA[[#This Row],[JUMLAH]]*NOTA[[#This Row],[DISC 1]])</f>
        <v>1015200</v>
      </c>
      <c r="Z296" s="50">
        <f>IF(NOTA[[#This Row],[JUMLAH]]="","",(NOTA[[#This Row],[JUMLAH]]-NOTA[[#This Row],[DISC 1-]])*NOTA[[#This Row],[DISC 2]])</f>
        <v>710640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1725840</v>
      </c>
      <c r="AC296" s="50">
        <f>IF(NOTA[[#This Row],[JUMLAH]]="","",NOTA[[#This Row],[JUMLAH]]-NOTA[[#This Row],[DISC]])</f>
        <v>6395760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96" s="50">
        <f>IF(OR(NOTA[[#This Row],[QTY]]="",NOTA[[#This Row],[HARGA SATUAN]]="",),"",NOTA[[#This Row],[QTY]]*NOTA[[#This Row],[HARGA SATUAN]])</f>
        <v>8121600</v>
      </c>
      <c r="AI296" s="39">
        <f ca="1">IF(NOTA[ID_H]="","",INDEX(NOTA[TANGGAL],MATCH(,INDIRECT(ADDRESS(ROW(NOTA[TANGGAL]),COLUMN(NOTA[TANGGAL]))&amp;":"&amp;ADDRESS(ROW(),COLUMN(NOTA[TANGGAL]))),-1)))</f>
        <v>45275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12</v>
      </c>
      <c r="AN29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1060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144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65</v>
      </c>
      <c r="E297" s="46"/>
      <c r="F297" s="37"/>
      <c r="G297" s="37"/>
      <c r="H297" s="47"/>
      <c r="I297" s="37"/>
      <c r="J297" s="39"/>
      <c r="K297" s="37"/>
      <c r="L297" s="37" t="s">
        <v>411</v>
      </c>
      <c r="M297" s="40">
        <v>10</v>
      </c>
      <c r="N297" s="38">
        <v>2400</v>
      </c>
      <c r="O297" s="37" t="s">
        <v>152</v>
      </c>
      <c r="P297" s="41">
        <v>7000</v>
      </c>
      <c r="Q297" s="42"/>
      <c r="R297" s="48"/>
      <c r="S297" s="49">
        <v>0.125</v>
      </c>
      <c r="T297" s="44">
        <v>0.1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16800000</v>
      </c>
      <c r="Y297" s="50">
        <f>IF(NOTA[[#This Row],[JUMLAH]]="","",NOTA[[#This Row],[JUMLAH]]*NOTA[[#This Row],[DISC 1]])</f>
        <v>2100000</v>
      </c>
      <c r="Z297" s="50">
        <f>IF(NOTA[[#This Row],[JUMLAH]]="","",(NOTA[[#This Row],[JUMLAH]]-NOTA[[#This Row],[DISC 1-]])*NOTA[[#This Row],[DISC 2]])</f>
        <v>1470000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3570000</v>
      </c>
      <c r="AC297" s="50">
        <f>IF(NOTA[[#This Row],[JUMLAH]]="","",NOTA[[#This Row],[JUMLAH]]-NOTA[[#This Row],[DISC]])</f>
        <v>13230000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97" s="50">
        <f>IF(OR(NOTA[[#This Row],[QTY]]="",NOTA[[#This Row],[HARGA SATUAN]]="",),"",NOTA[[#This Row],[QTY]]*NOTA[[#This Row],[HARGA SATUAN]])</f>
        <v>16800000</v>
      </c>
      <c r="AI297" s="39">
        <f ca="1">IF(NOTA[ID_H]="","",INDEX(NOTA[TANGGAL],MATCH(,INDIRECT(ADDRESS(ROW(NOTA[TANGGAL]),COLUMN(NOTA[TANGGAL]))&amp;":"&amp;ADDRESS(ROW(),COLUMN(NOTA[TANGGAL]))),-1)))</f>
        <v>45275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12</v>
      </c>
      <c r="AN297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2860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20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65</v>
      </c>
      <c r="E298" s="46"/>
      <c r="F298" s="37"/>
      <c r="G298" s="37"/>
      <c r="H298" s="47"/>
      <c r="I298" s="37"/>
      <c r="J298" s="39"/>
      <c r="K298" s="37"/>
      <c r="L298" s="37" t="s">
        <v>186</v>
      </c>
      <c r="M298" s="40">
        <v>5</v>
      </c>
      <c r="N298" s="38">
        <v>150</v>
      </c>
      <c r="O298" s="37" t="s">
        <v>182</v>
      </c>
      <c r="P298" s="41">
        <v>104400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15660000</v>
      </c>
      <c r="Y298" s="50">
        <f>IF(NOTA[[#This Row],[JUMLAH]]="","",NOTA[[#This Row],[JUMLAH]]*NOTA[[#This Row],[DISC 1]])</f>
        <v>1957500</v>
      </c>
      <c r="Z298" s="50">
        <f>IF(NOTA[[#This Row],[JUMLAH]]="","",(NOTA[[#This Row],[JUMLAH]]-NOTA[[#This Row],[DISC 1-]])*NOTA[[#This Row],[DISC 2]])</f>
        <v>685125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2642625</v>
      </c>
      <c r="AC298" s="50">
        <f>IF(NOTA[[#This Row],[JUMLAH]]="","",NOTA[[#This Row],[JUMLAH]]-NOTA[[#This Row],[DISC]])</f>
        <v>13017375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8" s="50">
        <f>IF(OR(NOTA[[#This Row],[QTY]]="",NOTA[[#This Row],[HARGA SATUAN]]="",),"",NOTA[[#This Row],[QTY]]*NOTA[[#This Row],[HARGA SATUAN]])</f>
        <v>15660000</v>
      </c>
      <c r="AI298" s="39">
        <f ca="1">IF(NOTA[ID_H]="","",INDEX(NOTA[TANGGAL],MATCH(,INDIRECT(ADDRESS(ROW(NOTA[TANGGAL]),COLUMN(NOTA[TANGGAL]))&amp;":"&amp;ADDRESS(ROW(),COLUMN(NOTA[TANGGAL]))),-1)))</f>
        <v>45275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12</v>
      </c>
      <c r="AN29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2495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30 GRS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65</v>
      </c>
      <c r="E299" s="46"/>
      <c r="F299" s="37"/>
      <c r="G299" s="37"/>
      <c r="H299" s="47"/>
      <c r="I299" s="37"/>
      <c r="J299" s="39"/>
      <c r="K299" s="37"/>
      <c r="L299" s="37" t="s">
        <v>188</v>
      </c>
      <c r="M299" s="40">
        <v>5</v>
      </c>
      <c r="N299" s="38">
        <v>720</v>
      </c>
      <c r="O299" s="37" t="s">
        <v>160</v>
      </c>
      <c r="P299" s="41">
        <v>10600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7632000</v>
      </c>
      <c r="Y299" s="50">
        <f>IF(NOTA[[#This Row],[JUMLAH]]="","",NOTA[[#This Row],[JUMLAH]]*NOTA[[#This Row],[DISC 1]])</f>
        <v>954000</v>
      </c>
      <c r="Z299" s="50">
        <f>IF(NOTA[[#This Row],[JUMLAH]]="","",(NOTA[[#This Row],[JUMLAH]]-NOTA[[#This Row],[DISC 1-]])*NOTA[[#This Row],[DISC 2]])</f>
        <v>333900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1287900</v>
      </c>
      <c r="AC299" s="50">
        <f>IF(NOTA[[#This Row],[JUMLAH]]="","",NOTA[[#This Row],[JUMLAH]]-NOTA[[#This Row],[DISC]])</f>
        <v>6344100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9" s="50">
        <f>IF(OR(NOTA[[#This Row],[QTY]]="",NOTA[[#This Row],[HARGA SATUAN]]="",),"",NOTA[[#This Row],[QTY]]*NOTA[[#This Row],[HARGA SATUAN]])</f>
        <v>7632000</v>
      </c>
      <c r="AI299" s="39">
        <f ca="1">IF(NOTA[ID_H]="","",INDEX(NOTA[TANGGAL],MATCH(,INDIRECT(ADDRESS(ROW(NOTA[TANGGAL]),COLUMN(NOTA[TANGGAL]))&amp;":"&amp;ADDRESS(ROW(),COLUMN(NOTA[TANGGAL]))),-1)))</f>
        <v>45275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12</v>
      </c>
      <c r="AN29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690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12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65</v>
      </c>
      <c r="E300" s="46"/>
      <c r="F300" s="37"/>
      <c r="G300" s="37"/>
      <c r="H300" s="47"/>
      <c r="I300" s="37"/>
      <c r="J300" s="39"/>
      <c r="K300" s="37"/>
      <c r="L300" s="37" t="s">
        <v>412</v>
      </c>
      <c r="M300" s="40">
        <v>2</v>
      </c>
      <c r="N300" s="38">
        <v>288</v>
      </c>
      <c r="O300" s="37" t="s">
        <v>152</v>
      </c>
      <c r="P300" s="41">
        <v>4350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1252800</v>
      </c>
      <c r="Y300" s="50">
        <f>IF(NOTA[[#This Row],[JUMLAH]]="","",NOTA[[#This Row],[JUMLAH]]*NOTA[[#This Row],[DISC 1]])</f>
        <v>156600</v>
      </c>
      <c r="Z300" s="50">
        <f>IF(NOTA[[#This Row],[JUMLAH]]="","",(NOTA[[#This Row],[JUMLAH]]-NOTA[[#This Row],[DISC 1-]])*NOTA[[#This Row],[DISC 2]])</f>
        <v>54810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211410</v>
      </c>
      <c r="AC300" s="50">
        <f>IF(NOTA[[#This Row],[JUMLAH]]="","",NOTA[[#This Row],[JUMLAH]]-NOTA[[#This Row],[DISC]])</f>
        <v>1041390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00" s="50">
        <f>IF(OR(NOTA[[#This Row],[QTY]]="",NOTA[[#This Row],[HARGA SATUAN]]="",),"",NOTA[[#This Row],[QTY]]*NOTA[[#This Row],[HARGA SATUAN]])</f>
        <v>1252800</v>
      </c>
      <c r="AI300" s="39">
        <f ca="1">IF(NOTA[ID_H]="","",INDEX(NOTA[TANGGAL],MATCH(,INDIRECT(ADDRESS(ROW(NOTA[TANGGAL]),COLUMN(NOTA[TANGGAL]))&amp;":"&amp;ADDRESS(ROW(),COLUMN(NOTA[TANGGAL]))),-1)))</f>
        <v>45275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12</v>
      </c>
      <c r="AN30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2758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65</v>
      </c>
      <c r="E301" s="46"/>
      <c r="F301" s="37"/>
      <c r="G301" s="37"/>
      <c r="H301" s="47"/>
      <c r="I301" s="37"/>
      <c r="J301" s="39"/>
      <c r="K301" s="37"/>
      <c r="L301" s="37" t="s">
        <v>413</v>
      </c>
      <c r="M301" s="40">
        <v>2</v>
      </c>
      <c r="N301" s="38">
        <v>288</v>
      </c>
      <c r="O301" s="37" t="s">
        <v>152</v>
      </c>
      <c r="P301" s="41">
        <v>9750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2808000</v>
      </c>
      <c r="Y301" s="50">
        <f>IF(NOTA[[#This Row],[JUMLAH]]="","",NOTA[[#This Row],[JUMLAH]]*NOTA[[#This Row],[DISC 1]])</f>
        <v>351000</v>
      </c>
      <c r="Z301" s="50">
        <f>IF(NOTA[[#This Row],[JUMLAH]]="","",(NOTA[[#This Row],[JUMLAH]]-NOTA[[#This Row],[DISC 1-]])*NOTA[[#This Row],[DISC 2]])</f>
        <v>122850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473850</v>
      </c>
      <c r="AC301" s="50">
        <f>IF(NOTA[[#This Row],[JUMLAH]]="","",NOTA[[#This Row],[JUMLAH]]-NOTA[[#This Row],[DISC]])</f>
        <v>2334150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01" s="50">
        <f>IF(OR(NOTA[[#This Row],[QTY]]="",NOTA[[#This Row],[HARGA SATUAN]]="",),"",NOTA[[#This Row],[QTY]]*NOTA[[#This Row],[HARGA SATUAN]])</f>
        <v>2808000</v>
      </c>
      <c r="AI301" s="39">
        <f ca="1">IF(NOTA[ID_H]="","",INDEX(NOTA[TANGGAL],MATCH(,INDIRECT(ADDRESS(ROW(NOTA[TANGGAL]),COLUMN(NOTA[TANGGAL]))&amp;":"&amp;ADDRESS(ROW(),COLUMN(NOTA[TANGGAL]))),-1)))</f>
        <v>45275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12</v>
      </c>
      <c r="AN30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2762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65</v>
      </c>
      <c r="E302" s="46"/>
      <c r="F302" s="37"/>
      <c r="G302" s="37"/>
      <c r="H302" s="47"/>
      <c r="I302" s="37"/>
      <c r="J302" s="39"/>
      <c r="K302" s="37"/>
      <c r="L302" s="37" t="s">
        <v>414</v>
      </c>
      <c r="M302" s="40">
        <v>3</v>
      </c>
      <c r="N302" s="38">
        <v>1500</v>
      </c>
      <c r="O302" s="37" t="s">
        <v>175</v>
      </c>
      <c r="P302" s="41">
        <v>1625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2437500</v>
      </c>
      <c r="Y302" s="50">
        <f>IF(NOTA[[#This Row],[JUMLAH]]="","",NOTA[[#This Row],[JUMLAH]]*NOTA[[#This Row],[DISC 1]])</f>
        <v>304687.5</v>
      </c>
      <c r="Z302" s="50">
        <f>IF(NOTA[[#This Row],[JUMLAH]]="","",(NOTA[[#This Row],[JUMLAH]]-NOTA[[#This Row],[DISC 1-]])*NOTA[[#This Row],[DISC 2]])</f>
        <v>106640.625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411328.125</v>
      </c>
      <c r="AC302" s="50">
        <f>IF(NOTA[[#This Row],[JUMLAH]]="","",NOTA[[#This Row],[JUMLAH]]-NOTA[[#This Row],[DISC]])</f>
        <v>2026171.875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13390297.125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55756162.875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02" s="50">
        <f>IF(OR(NOTA[[#This Row],[QTY]]="",NOTA[[#This Row],[HARGA SATUAN]]="",),"",NOTA[[#This Row],[QTY]]*NOTA[[#This Row],[HARGA SATUAN]])</f>
        <v>2437500</v>
      </c>
      <c r="AI302" s="39">
        <f ca="1">IF(NOTA[ID_H]="","",INDEX(NOTA[TANGGAL],MATCH(,INDIRECT(ADDRESS(ROW(NOTA[TANGGAL]),COLUMN(NOTA[TANGGAL]))&amp;":"&amp;ADDRESS(ROW(),COLUMN(NOTA[TANGGAL]))),-1)))</f>
        <v>45275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12</v>
      </c>
      <c r="AN3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3052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500 BOX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ATA_1312_304-9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66</v>
      </c>
      <c r="E304" s="46">
        <v>45273</v>
      </c>
      <c r="F304" s="37" t="s">
        <v>24</v>
      </c>
      <c r="G304" s="37" t="s">
        <v>23</v>
      </c>
      <c r="H304" s="47" t="s">
        <v>417</v>
      </c>
      <c r="I304" s="37"/>
      <c r="J304" s="39">
        <v>45268</v>
      </c>
      <c r="K304" s="37"/>
      <c r="L304" s="37" t="s">
        <v>287</v>
      </c>
      <c r="M304" s="40"/>
      <c r="N304" s="38">
        <v>180</v>
      </c>
      <c r="O304" s="37" t="s">
        <v>152</v>
      </c>
      <c r="P304" s="41">
        <v>3700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666000</v>
      </c>
      <c r="Y304" s="50">
        <f>IF(NOTA[[#This Row],[JUMLAH]]="","",NOTA[[#This Row],[JUMLAH]]*NOTA[[#This Row],[DISC 1]])</f>
        <v>83250</v>
      </c>
      <c r="Z304" s="50">
        <f>IF(NOTA[[#This Row],[JUMLAH]]="","",(NOTA[[#This Row],[JUMLAH]]-NOTA[[#This Row],[DISC 1-]])*NOTA[[#This Row],[DISC 2]])</f>
        <v>29137.5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112387.5</v>
      </c>
      <c r="AC304" s="50">
        <f>IF(NOTA[[#This Row],[JUMLAH]]="","",NOTA[[#This Row],[JUMLAH]]-NOTA[[#This Row],[DISC]])</f>
        <v>553612.5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4" s="50">
        <f>IF(OR(NOTA[[#This Row],[QTY]]="",NOTA[[#This Row],[HARGA SATUAN]]="",),"",NOTA[[#This Row],[QTY]]*NOTA[[#This Row],[HARGA SATUAN]])</f>
        <v>666000</v>
      </c>
      <c r="AI304" s="39">
        <f ca="1">IF(NOTA[ID_H]="","",INDEX(NOTA[TANGGAL],MATCH(,INDIRECT(ADDRESS(ROW(NOTA[TANGGAL]),COLUMN(NOTA[TANGGAL]))&amp;":"&amp;ADDRESS(ROW(),COLUMN(NOTA[TANGGAL]))),-1)))</f>
        <v>45273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>
        <f ca="1">IF(NOTA[[#This Row],[ID]]="","",COUNTIF(NOTA[ID_H],NOTA[[#This Row],[ID_H]]))</f>
        <v>9</v>
      </c>
      <c r="AM304" s="38">
        <f>IF(NOTA[[#This Row],[TGL.NOTA]]="",IF(NOTA[[#This Row],[SUPPLIER_H]]="","",AM303),MONTH(NOTA[[#This Row],[TGL.NOTA]]))</f>
        <v>12</v>
      </c>
      <c r="AN30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MOROSA23122130445268highlighterhl1yellowjk</v>
      </c>
      <c r="AR304" s="38" t="e">
        <f>IF(NOTA[[#This Row],[CONCAT4]]="","",_xlfn.IFNA(MATCH(NOTA[[#This Row],[CONCAT4]],[2]!RAW[CONCAT_H],0),FALSE))</f>
        <v>#REF!</v>
      </c>
      <c r="AS304" s="38">
        <f>IF(NOTA[[#This Row],[CONCAT1]]="","",MATCH(NOTA[[#This Row],[CONCAT1]],[3]!db[NB NOTA_C],0))</f>
        <v>1405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72 BOX (10 PCS)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66</v>
      </c>
      <c r="E305" s="46"/>
      <c r="F305" s="37"/>
      <c r="G305" s="37"/>
      <c r="H305" s="47"/>
      <c r="I305" s="37"/>
      <c r="J305" s="39"/>
      <c r="K305" s="37"/>
      <c r="L305" s="37" t="s">
        <v>288</v>
      </c>
      <c r="M305" s="40"/>
      <c r="N305" s="38">
        <v>180</v>
      </c>
      <c r="O305" s="37" t="s">
        <v>152</v>
      </c>
      <c r="P305" s="41">
        <v>3700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666000</v>
      </c>
      <c r="Y305" s="50">
        <f>IF(NOTA[[#This Row],[JUMLAH]]="","",NOTA[[#This Row],[JUMLAH]]*NOTA[[#This Row],[DISC 1]])</f>
        <v>83250</v>
      </c>
      <c r="Z305" s="50">
        <f>IF(NOTA[[#This Row],[JUMLAH]]="","",(NOTA[[#This Row],[JUMLAH]]-NOTA[[#This Row],[DISC 1-]])*NOTA[[#This Row],[DISC 2]])</f>
        <v>29137.5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112387.5</v>
      </c>
      <c r="AC305" s="50">
        <f>IF(NOTA[[#This Row],[JUMLAH]]="","",NOTA[[#This Row],[JUMLAH]]-NOTA[[#This Row],[DISC]])</f>
        <v>553612.5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5" s="50">
        <f>IF(OR(NOTA[[#This Row],[QTY]]="",NOTA[[#This Row],[HARGA SATUAN]]="",),"",NOTA[[#This Row],[QTY]]*NOTA[[#This Row],[HARGA SATUAN]])</f>
        <v>666000</v>
      </c>
      <c r="AI305" s="39">
        <f ca="1">IF(NOTA[ID_H]="","",INDEX(NOTA[TANGGAL],MATCH(,INDIRECT(ADDRESS(ROW(NOTA[TANGGAL]),COLUMN(NOTA[TANGGAL]))&amp;":"&amp;ADDRESS(ROW(),COLUMN(NOTA[TANGGAL]))),-1)))</f>
        <v>45273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12</v>
      </c>
      <c r="AN30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1407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72 BOX (10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66</v>
      </c>
      <c r="E306" s="46"/>
      <c r="F306" s="37"/>
      <c r="G306" s="37"/>
      <c r="H306" s="47"/>
      <c r="I306" s="37"/>
      <c r="J306" s="39"/>
      <c r="K306" s="37"/>
      <c r="L306" s="37" t="s">
        <v>289</v>
      </c>
      <c r="M306" s="40"/>
      <c r="N306" s="38">
        <v>120</v>
      </c>
      <c r="O306" s="37" t="s">
        <v>152</v>
      </c>
      <c r="P306" s="41">
        <v>3700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444000</v>
      </c>
      <c r="Y306" s="50">
        <f>IF(NOTA[[#This Row],[JUMLAH]]="","",NOTA[[#This Row],[JUMLAH]]*NOTA[[#This Row],[DISC 1]])</f>
        <v>55500</v>
      </c>
      <c r="Z306" s="50">
        <f>IF(NOTA[[#This Row],[JUMLAH]]="","",(NOTA[[#This Row],[JUMLAH]]-NOTA[[#This Row],[DISC 1-]])*NOTA[[#This Row],[DISC 2]])</f>
        <v>19425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74925</v>
      </c>
      <c r="AC306" s="50">
        <f>IF(NOTA[[#This Row],[JUMLAH]]="","",NOTA[[#This Row],[JUMLAH]]-NOTA[[#This Row],[DISC]])</f>
        <v>369075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6" s="50">
        <f>IF(OR(NOTA[[#This Row],[QTY]]="",NOTA[[#This Row],[HARGA SATUAN]]="",),"",NOTA[[#This Row],[QTY]]*NOTA[[#This Row],[HARGA SATUAN]])</f>
        <v>444000</v>
      </c>
      <c r="AI306" s="39">
        <f ca="1">IF(NOTA[ID_H]="","",INDEX(NOTA[TANGGAL],MATCH(,INDIRECT(ADDRESS(ROW(NOTA[TANGGAL]),COLUMN(NOTA[TANGGAL]))&amp;":"&amp;ADDRESS(ROW(),COLUMN(NOTA[TANGGAL]))),-1)))</f>
        <v>45273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12</v>
      </c>
      <c r="AN30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1408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72 BOX (10 PCS)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66</v>
      </c>
      <c r="E307" s="46"/>
      <c r="F307" s="37"/>
      <c r="G307" s="37"/>
      <c r="H307" s="47"/>
      <c r="I307" s="37"/>
      <c r="J307" s="39"/>
      <c r="K307" s="37"/>
      <c r="L307" s="37" t="s">
        <v>290</v>
      </c>
      <c r="M307" s="40"/>
      <c r="N307" s="38">
        <v>120</v>
      </c>
      <c r="O307" s="37" t="s">
        <v>152</v>
      </c>
      <c r="P307" s="41">
        <v>3700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444000</v>
      </c>
      <c r="Y307" s="50">
        <f>IF(NOTA[[#This Row],[JUMLAH]]="","",NOTA[[#This Row],[JUMLAH]]*NOTA[[#This Row],[DISC 1]])</f>
        <v>55500</v>
      </c>
      <c r="Z307" s="50">
        <f>IF(NOTA[[#This Row],[JUMLAH]]="","",(NOTA[[#This Row],[JUMLAH]]-NOTA[[#This Row],[DISC 1-]])*NOTA[[#This Row],[DISC 2]])</f>
        <v>19425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74925</v>
      </c>
      <c r="AC307" s="50">
        <f>IF(NOTA[[#This Row],[JUMLAH]]="","",NOTA[[#This Row],[JUMLAH]]-NOTA[[#This Row],[DISC]])</f>
        <v>369075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7" s="50">
        <f>IF(OR(NOTA[[#This Row],[QTY]]="",NOTA[[#This Row],[HARGA SATUAN]]="",),"",NOTA[[#This Row],[QTY]]*NOTA[[#This Row],[HARGA SATUAN]])</f>
        <v>444000</v>
      </c>
      <c r="AI307" s="39">
        <f ca="1">IF(NOTA[ID_H]="","",INDEX(NOTA[TANGGAL],MATCH(,INDIRECT(ADDRESS(ROW(NOTA[TANGGAL]),COLUMN(NOTA[TANGGAL]))&amp;":"&amp;ADDRESS(ROW(),COLUMN(NOTA[TANGGAL]))),-1)))</f>
        <v>45273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12</v>
      </c>
      <c r="AN30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1409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72 BOX (10 PCS)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66</v>
      </c>
      <c r="E308" s="46"/>
      <c r="F308" s="37"/>
      <c r="G308" s="37"/>
      <c r="H308" s="47"/>
      <c r="I308" s="37"/>
      <c r="J308" s="39"/>
      <c r="K308" s="37"/>
      <c r="L308" s="37" t="s">
        <v>291</v>
      </c>
      <c r="M308" s="40"/>
      <c r="N308" s="38">
        <v>120</v>
      </c>
      <c r="O308" s="37" t="s">
        <v>152</v>
      </c>
      <c r="P308" s="41">
        <v>3700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444000</v>
      </c>
      <c r="Y308" s="50">
        <f>IF(NOTA[[#This Row],[JUMLAH]]="","",NOTA[[#This Row],[JUMLAH]]*NOTA[[#This Row],[DISC 1]])</f>
        <v>55500</v>
      </c>
      <c r="Z308" s="50">
        <f>IF(NOTA[[#This Row],[JUMLAH]]="","",(NOTA[[#This Row],[JUMLAH]]-NOTA[[#This Row],[DISC 1-]])*NOTA[[#This Row],[DISC 2]])</f>
        <v>19425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74925</v>
      </c>
      <c r="AC308" s="50">
        <f>IF(NOTA[[#This Row],[JUMLAH]]="","",NOTA[[#This Row],[JUMLAH]]-NOTA[[#This Row],[DISC]])</f>
        <v>369075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8" s="50">
        <f>IF(OR(NOTA[[#This Row],[QTY]]="",NOTA[[#This Row],[HARGA SATUAN]]="",),"",NOTA[[#This Row],[QTY]]*NOTA[[#This Row],[HARGA SATUAN]])</f>
        <v>444000</v>
      </c>
      <c r="AI308" s="39">
        <f ca="1">IF(NOTA[ID_H]="","",INDEX(NOTA[TANGGAL],MATCH(,INDIRECT(ADDRESS(ROW(NOTA[TANGGAL]),COLUMN(NOTA[TANGGAL]))&amp;":"&amp;ADDRESS(ROW(),COLUMN(NOTA[TANGGAL]))),-1)))</f>
        <v>45273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12</v>
      </c>
      <c r="AN30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1410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72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66</v>
      </c>
      <c r="E309" s="46"/>
      <c r="F309" s="37"/>
      <c r="G309" s="37"/>
      <c r="H309" s="37"/>
      <c r="I309" s="39"/>
      <c r="J309" s="39"/>
      <c r="K309" s="37"/>
      <c r="L309" s="37" t="s">
        <v>415</v>
      </c>
      <c r="M309" s="40">
        <v>3</v>
      </c>
      <c r="N309" s="38">
        <v>120</v>
      </c>
      <c r="O309" s="37" t="s">
        <v>130</v>
      </c>
      <c r="P309" s="41">
        <v>49200</v>
      </c>
      <c r="Q309" s="42"/>
      <c r="R309" s="48"/>
      <c r="S309" s="49">
        <v>0.125</v>
      </c>
      <c r="T309" s="44">
        <v>0.05</v>
      </c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5904000</v>
      </c>
      <c r="Y309" s="50">
        <f>IF(NOTA[[#This Row],[JUMLAH]]="","",NOTA[[#This Row],[JUMLAH]]*NOTA[[#This Row],[DISC 1]])</f>
        <v>738000</v>
      </c>
      <c r="Z309" s="50">
        <f>IF(NOTA[[#This Row],[JUMLAH]]="","",(NOTA[[#This Row],[JUMLAH]]-NOTA[[#This Row],[DISC 1-]])*NOTA[[#This Row],[DISC 2]])</f>
        <v>258300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996300</v>
      </c>
      <c r="AC309" s="50">
        <f>IF(NOTA[[#This Row],[JUMLAH]]="","",NOTA[[#This Row],[JUMLAH]]-NOTA[[#This Row],[DISC]])</f>
        <v>4907700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09" s="50">
        <f>IF(OR(NOTA[[#This Row],[QTY]]="",NOTA[[#This Row],[HARGA SATUAN]]="",),"",NOTA[[#This Row],[QTY]]*NOTA[[#This Row],[HARGA SATUAN]])</f>
        <v>5904000</v>
      </c>
      <c r="AI309" s="39">
        <f ca="1">IF(NOTA[ID_H]="","",INDEX(NOTA[TANGGAL],MATCH(,INDIRECT(ADDRESS(ROW(NOTA[TANGGAL]),COLUMN(NOTA[TANGGAL]))&amp;":"&amp;ADDRESS(ROW(),COLUMN(NOTA[TANGGAL]))),-1)))</f>
        <v>45273</v>
      </c>
      <c r="AJ309" s="41" t="str">
        <f ca="1">IF(NOTA[[#This Row],[NAMA BARANG]]="","",INDEX(NOTA[SUPPLIER],MATCH(,INDIRECT(ADDRESS(ROW(NOTA[ID]),COLUMN(NOTA[ID]))&amp;":"&amp;ADDRESS(ROW(),COLUMN(NOTA[ID]))),-1)))</f>
        <v>ATALI MAKMUR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12</v>
      </c>
      <c r="AN30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784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>40 LSN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66</v>
      </c>
      <c r="E310" s="46"/>
      <c r="F310" s="37"/>
      <c r="G310" s="37"/>
      <c r="H310" s="47"/>
      <c r="I310" s="37"/>
      <c r="J310" s="39"/>
      <c r="K310" s="37"/>
      <c r="L310" s="37" t="s">
        <v>416</v>
      </c>
      <c r="M310" s="40"/>
      <c r="N310" s="38">
        <v>72</v>
      </c>
      <c r="O310" s="37" t="s">
        <v>152</v>
      </c>
      <c r="P310" s="41">
        <v>2350</v>
      </c>
      <c r="Q310" s="42"/>
      <c r="R310" s="48"/>
      <c r="S310" s="49">
        <v>0.125</v>
      </c>
      <c r="T310" s="44">
        <v>0.05</v>
      </c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169200</v>
      </c>
      <c r="Y310" s="50">
        <f>IF(NOTA[[#This Row],[JUMLAH]]="","",NOTA[[#This Row],[JUMLAH]]*NOTA[[#This Row],[DISC 1]])</f>
        <v>21150</v>
      </c>
      <c r="Z310" s="50">
        <f>IF(NOTA[[#This Row],[JUMLAH]]="","",(NOTA[[#This Row],[JUMLAH]]-NOTA[[#This Row],[DISC 1-]])*NOTA[[#This Row],[DISC 2]])</f>
        <v>7402.5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28552.5</v>
      </c>
      <c r="AC310" s="50">
        <f>IF(NOTA[[#This Row],[JUMLAH]]="","",NOTA[[#This Row],[JUMLAH]]-NOTA[[#This Row],[DISC]])</f>
        <v>140647.5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H310" s="50">
        <f>IF(OR(NOTA[[#This Row],[QTY]]="",NOTA[[#This Row],[HARGA SATUAN]]="",),"",NOTA[[#This Row],[QTY]]*NOTA[[#This Row],[HARGA SATUAN]])</f>
        <v>169200</v>
      </c>
      <c r="AI310" s="39">
        <f ca="1">IF(NOTA[ID_H]="","",INDEX(NOTA[TANGGAL],MATCH(,INDIRECT(ADDRESS(ROW(NOTA[TANGGAL]),COLUMN(NOTA[TANGGAL]))&amp;":"&amp;ADDRESS(ROW(),COLUMN(NOTA[TANGGAL]))),-1)))</f>
        <v>45273</v>
      </c>
      <c r="AJ310" s="41" t="str">
        <f ca="1">IF(NOTA[[#This Row],[NAMA BARANG]]="","",INDEX(NOTA[SUPPLIER],MATCH(,INDIRECT(ADDRESS(ROW(NOTA[ID]),COLUMN(NOTA[ID]))&amp;":"&amp;ADDRESS(ROW(),COLUMN(NOTA[ID]))),-1)))</f>
        <v>ATALI MAKMUR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12</v>
      </c>
      <c r="AN3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permanentmarkerpm34blackjkbonus1692000.1250.05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2623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48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66</v>
      </c>
      <c r="E311" s="46"/>
      <c r="F311" s="37"/>
      <c r="G311" s="37"/>
      <c r="H311" s="47"/>
      <c r="I311" s="37"/>
      <c r="J311" s="39"/>
      <c r="K311" s="37"/>
      <c r="L311" s="37" t="s">
        <v>392</v>
      </c>
      <c r="M311" s="40">
        <v>4</v>
      </c>
      <c r="N311" s="38">
        <v>192</v>
      </c>
      <c r="O311" s="37" t="s">
        <v>130</v>
      </c>
      <c r="P311" s="41">
        <v>36000</v>
      </c>
      <c r="Q311" s="42"/>
      <c r="R311" s="48"/>
      <c r="S311" s="49">
        <v>0.125</v>
      </c>
      <c r="T311" s="44">
        <v>0.1</v>
      </c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6912000</v>
      </c>
      <c r="Y311" s="50">
        <f>IF(NOTA[[#This Row],[JUMLAH]]="","",NOTA[[#This Row],[JUMLAH]]*NOTA[[#This Row],[DISC 1]])</f>
        <v>864000</v>
      </c>
      <c r="Z311" s="50">
        <f>IF(NOTA[[#This Row],[JUMLAH]]="","",(NOTA[[#This Row],[JUMLAH]]-NOTA[[#This Row],[DISC 1-]])*NOTA[[#This Row],[DISC 2]])</f>
        <v>604800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1468800</v>
      </c>
      <c r="AC311" s="50">
        <f>IF(NOTA[[#This Row],[JUMLAH]]="","",NOTA[[#This Row],[JUMLAH]]-NOTA[[#This Row],[DISC]])</f>
        <v>5443200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1" s="50">
        <f>IF(OR(NOTA[[#This Row],[QTY]]="",NOTA[[#This Row],[HARGA SATUAN]]="",),"",NOTA[[#This Row],[QTY]]*NOTA[[#This Row],[HARGA SATUAN]])</f>
        <v>6912000</v>
      </c>
      <c r="AI311" s="39">
        <f ca="1">IF(NOTA[ID_H]="","",INDEX(NOTA[TANGGAL],MATCH(,INDIRECT(ADDRESS(ROW(NOTA[TANGGAL]),COLUMN(NOTA[TANGGAL]))&amp;":"&amp;ADDRESS(ROW(),COLUMN(NOTA[TANGGAL]))),-1)))</f>
        <v>45273</v>
      </c>
      <c r="AJ311" s="41" t="str">
        <f ca="1">IF(NOTA[[#This Row],[NAMA BARANG]]="","",INDEX(NOTA[SUPPLIER],MATCH(,INDIRECT(ADDRESS(ROW(NOTA[ID]),COLUMN(NOTA[ID]))&amp;":"&amp;ADDRESS(ROW(),COLUMN(NOTA[ID]))),-1)))</f>
        <v>ATALI MAKMUR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12</v>
      </c>
      <c r="AN311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723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48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/>
      <c r="G312" s="37"/>
      <c r="H312" s="47"/>
      <c r="I312" s="37"/>
      <c r="J312" s="39"/>
      <c r="K312" s="37"/>
      <c r="L312" s="37" t="s">
        <v>184</v>
      </c>
      <c r="M312" s="40"/>
      <c r="N312" s="38">
        <v>24</v>
      </c>
      <c r="O312" s="37" t="s">
        <v>130</v>
      </c>
      <c r="P312" s="41">
        <v>13200</v>
      </c>
      <c r="Q312" s="42"/>
      <c r="R312" s="48"/>
      <c r="S312" s="49">
        <v>0.125</v>
      </c>
      <c r="T312" s="44">
        <v>0.05</v>
      </c>
      <c r="U312" s="44"/>
      <c r="V312" s="50">
        <v>403987.5</v>
      </c>
      <c r="W312" s="45"/>
      <c r="X312" s="50">
        <f>IF(NOTA[[#This Row],[HARGA/ CTN]]="",NOTA[[#This Row],[JUMLAH_H]],NOTA[[#This Row],[HARGA/ CTN]]*IF(NOTA[[#This Row],[C]]="",0,NOTA[[#This Row],[C]]))</f>
        <v>316800</v>
      </c>
      <c r="Y312" s="50">
        <f>IF(NOTA[[#This Row],[JUMLAH]]="","",NOTA[[#This Row],[JUMLAH]]*NOTA[[#This Row],[DISC 1]])</f>
        <v>39600</v>
      </c>
      <c r="Z312" s="50">
        <f>IF(NOTA[[#This Row],[JUMLAH]]="","",(NOTA[[#This Row],[JUMLAH]]-NOTA[[#This Row],[DISC 1-]])*NOTA[[#This Row],[DISC 2]])</f>
        <v>13860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53460</v>
      </c>
      <c r="AC312" s="50">
        <f>IF(NOTA[[#This Row],[JUMLAH]]="","",NOTA[[#This Row],[JUMLAH]]-NOTA[[#This Row],[DISC]])</f>
        <v>263340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3400650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12565350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12" s="50">
        <f>IF(OR(NOTA[[#This Row],[QTY]]="",NOTA[[#This Row],[HARGA SATUAN]]="",),"",NOTA[[#This Row],[QTY]]*NOTA[[#This Row],[HARGA SATUAN]])</f>
        <v>316800</v>
      </c>
      <c r="AI312" s="39">
        <f ca="1">IF(NOTA[ID_H]="","",INDEX(NOTA[TANGGAL],MATCH(,INDIRECT(ADDRESS(ROW(NOTA[TANGGAL]),COLUMN(NOTA[TANGGAL]))&amp;":"&amp;ADDRESS(ROW(),COLUMN(NOTA[TANGGAL]))),-1)))</f>
        <v>45273</v>
      </c>
      <c r="AJ312" s="41" t="str">
        <f ca="1">IF(NOTA[[#This Row],[NAMA BARANG]]="","",INDEX(NOTA[SUPPLIER],MATCH(,INDIRECT(ADDRESS(ROW(NOTA[ID]),COLUMN(NOTA[ID]))&amp;":"&amp;ADDRESS(ROW(),COLUMN(NOTA[ID]))),-1)))</f>
        <v>ATALI MAKMUR</v>
      </c>
      <c r="AK312" s="41" t="str">
        <f ca="1">IF(NOTA[[#This Row],[ID_H]]="","",IF(NOTA[[#This Row],[FAKTUR]]="",INDIRECT(ADDRESS(ROW()-1,COLUMN())),NOTA[[#This Row],[FAKTUR]]))</f>
        <v>ARTO MORO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12</v>
      </c>
      <c r="AN312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131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144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ATA_1512_478-5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>
        <v>45275</v>
      </c>
      <c r="F314" s="37" t="s">
        <v>24</v>
      </c>
      <c r="G314" s="37" t="s">
        <v>23</v>
      </c>
      <c r="H314" s="47" t="s">
        <v>418</v>
      </c>
      <c r="I314" s="37"/>
      <c r="J314" s="39">
        <v>45269</v>
      </c>
      <c r="K314" s="37"/>
      <c r="L314" s="37" t="s">
        <v>178</v>
      </c>
      <c r="M314" s="40">
        <v>10</v>
      </c>
      <c r="N314" s="38">
        <v>1440</v>
      </c>
      <c r="O314" s="37" t="s">
        <v>160</v>
      </c>
      <c r="P314" s="41">
        <v>11900</v>
      </c>
      <c r="Q314" s="42"/>
      <c r="R314" s="48"/>
      <c r="S314" s="49">
        <v>0.125</v>
      </c>
      <c r="T314" s="44">
        <v>0.1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17136000</v>
      </c>
      <c r="Y314" s="50">
        <f>IF(NOTA[[#This Row],[JUMLAH]]="","",NOTA[[#This Row],[JUMLAH]]*NOTA[[#This Row],[DISC 1]])</f>
        <v>2142000</v>
      </c>
      <c r="Z314" s="50">
        <f>IF(NOTA[[#This Row],[JUMLAH]]="","",(NOTA[[#This Row],[JUMLAH]]-NOTA[[#This Row],[DISC 1-]])*NOTA[[#This Row],[DISC 2]])</f>
        <v>1499400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3641400</v>
      </c>
      <c r="AC314" s="50">
        <f>IF(NOTA[[#This Row],[JUMLAH]]="","",NOTA[[#This Row],[JUMLAH]]-NOTA[[#This Row],[DISC]])</f>
        <v>13494600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14" s="50">
        <f>IF(OR(NOTA[[#This Row],[QTY]]="",NOTA[[#This Row],[HARGA SATUAN]]="",),"",NOTA[[#This Row],[QTY]]*NOTA[[#This Row],[HARGA SATUAN]])</f>
        <v>17136000</v>
      </c>
      <c r="AI314" s="39">
        <f ca="1">IF(NOTA[ID_H]="","",INDEX(NOTA[TANGGAL],MATCH(,INDIRECT(ADDRESS(ROW(NOTA[TANGGAL]),COLUMN(NOTA[TANGGAL]))&amp;":"&amp;ADDRESS(ROW(),COLUMN(NOTA[TANGGAL]))),-1)))</f>
        <v>45275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>
        <f ca="1">IF(NOTA[[#This Row],[ID]]="","",COUNTIF(NOTA[ID_H],NOTA[[#This Row],[ID_H]]))</f>
        <v>5</v>
      </c>
      <c r="AM314" s="38">
        <f>IF(NOTA[[#This Row],[TGL.NOTA]]="",IF(NOTA[[#This Row],[SUPPLIER_H]]="","",AM313),MONTH(NOTA[[#This Row],[TGL.NOTA]]))</f>
        <v>12</v>
      </c>
      <c r="AN31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MOROSA23122147845269oilpastelop12sppcaseseaworldjk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2186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12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236</v>
      </c>
      <c r="M315" s="40">
        <v>10</v>
      </c>
      <c r="N315" s="38">
        <v>720</v>
      </c>
      <c r="O315" s="37" t="s">
        <v>160</v>
      </c>
      <c r="P315" s="41">
        <v>23000</v>
      </c>
      <c r="Q315" s="42"/>
      <c r="R315" s="48"/>
      <c r="S315" s="49">
        <v>0.125</v>
      </c>
      <c r="T315" s="44">
        <v>0.1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16560000</v>
      </c>
      <c r="Y315" s="50">
        <f>IF(NOTA[[#This Row],[JUMLAH]]="","",NOTA[[#This Row],[JUMLAH]]*NOTA[[#This Row],[DISC 1]])</f>
        <v>2070000</v>
      </c>
      <c r="Z315" s="50">
        <f>IF(NOTA[[#This Row],[JUMLAH]]="","",(NOTA[[#This Row],[JUMLAH]]-NOTA[[#This Row],[DISC 1-]])*NOTA[[#This Row],[DISC 2]])</f>
        <v>1449000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3519000</v>
      </c>
      <c r="AC315" s="50">
        <f>IF(NOTA[[#This Row],[JUMLAH]]="","",NOTA[[#This Row],[JUMLAH]]-NOTA[[#This Row],[DISC]])</f>
        <v>13041000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15" s="50">
        <f>IF(OR(NOTA[[#This Row],[QTY]]="",NOTA[[#This Row],[HARGA SATUAN]]="",),"",NOTA[[#This Row],[QTY]]*NOTA[[#This Row],[HARGA SATUAN]])</f>
        <v>16560000</v>
      </c>
      <c r="AI315" s="39">
        <f ca="1">IF(NOTA[ID_H]="","",INDEX(NOTA[TANGGAL],MATCH(,INDIRECT(ADDRESS(ROW(NOTA[TANGGAL]),COLUMN(NOTA[TANGGAL]))&amp;":"&amp;ADDRESS(ROW(),COLUMN(NOTA[TANGGAL]))),-1)))</f>
        <v>45275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12</v>
      </c>
      <c r="AN315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2187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6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67</v>
      </c>
      <c r="E316" s="46"/>
      <c r="F316" s="37"/>
      <c r="G316" s="37"/>
      <c r="H316" s="47"/>
      <c r="I316" s="37"/>
      <c r="J316" s="39"/>
      <c r="K316" s="37"/>
      <c r="L316" s="37" t="s">
        <v>238</v>
      </c>
      <c r="M316" s="40">
        <v>10</v>
      </c>
      <c r="N316" s="38">
        <v>480</v>
      </c>
      <c r="O316" s="37" t="s">
        <v>160</v>
      </c>
      <c r="P316" s="41">
        <v>29600</v>
      </c>
      <c r="Q316" s="42"/>
      <c r="R316" s="48"/>
      <c r="S316" s="49">
        <v>0.125</v>
      </c>
      <c r="T316" s="44">
        <v>0.1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14208000</v>
      </c>
      <c r="Y316" s="50">
        <f>IF(NOTA[[#This Row],[JUMLAH]]="","",NOTA[[#This Row],[JUMLAH]]*NOTA[[#This Row],[DISC 1]])</f>
        <v>1776000</v>
      </c>
      <c r="Z316" s="50">
        <f>IF(NOTA[[#This Row],[JUMLAH]]="","",(NOTA[[#This Row],[JUMLAH]]-NOTA[[#This Row],[DISC 1-]])*NOTA[[#This Row],[DISC 2]])</f>
        <v>1243200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3019200</v>
      </c>
      <c r="AC316" s="50">
        <f>IF(NOTA[[#This Row],[JUMLAH]]="","",NOTA[[#This Row],[JUMLAH]]-NOTA[[#This Row],[DISC]])</f>
        <v>11188800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16" s="50">
        <f>IF(OR(NOTA[[#This Row],[QTY]]="",NOTA[[#This Row],[HARGA SATUAN]]="",),"",NOTA[[#This Row],[QTY]]*NOTA[[#This Row],[HARGA SATUAN]])</f>
        <v>14208000</v>
      </c>
      <c r="AI316" s="39">
        <f ca="1">IF(NOTA[ID_H]="","",INDEX(NOTA[TANGGAL],MATCH(,INDIRECT(ADDRESS(ROW(NOTA[TANGGAL]),COLUMN(NOTA[TANGGAL]))&amp;":"&amp;ADDRESS(ROW(),COLUMN(NOTA[TANGGAL]))),-1)))</f>
        <v>45275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12</v>
      </c>
      <c r="AN31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2188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8 BOX (6 SET)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67</v>
      </c>
      <c r="E317" s="46"/>
      <c r="F317" s="37"/>
      <c r="G317" s="37"/>
      <c r="H317" s="47"/>
      <c r="I317" s="37"/>
      <c r="J317" s="39"/>
      <c r="K317" s="37"/>
      <c r="L317" s="37" t="s">
        <v>237</v>
      </c>
      <c r="M317" s="40">
        <v>5</v>
      </c>
      <c r="N317" s="38">
        <v>180</v>
      </c>
      <c r="O317" s="37" t="s">
        <v>160</v>
      </c>
      <c r="P317" s="41">
        <v>41500</v>
      </c>
      <c r="Q317" s="42"/>
      <c r="R317" s="48"/>
      <c r="S317" s="49">
        <v>0.125</v>
      </c>
      <c r="T317" s="44">
        <v>0.1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7470000</v>
      </c>
      <c r="Y317" s="50">
        <f>IF(NOTA[[#This Row],[JUMLAH]]="","",NOTA[[#This Row],[JUMLAH]]*NOTA[[#This Row],[DISC 1]])</f>
        <v>933750</v>
      </c>
      <c r="Z317" s="50">
        <f>IF(NOTA[[#This Row],[JUMLAH]]="","",(NOTA[[#This Row],[JUMLAH]]-NOTA[[#This Row],[DISC 1-]])*NOTA[[#This Row],[DISC 2]])</f>
        <v>653625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1587375</v>
      </c>
      <c r="AC317" s="50">
        <f>IF(NOTA[[#This Row],[JUMLAH]]="","",NOTA[[#This Row],[JUMLAH]]-NOTA[[#This Row],[DISC]])</f>
        <v>5882625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17" s="50">
        <f>IF(OR(NOTA[[#This Row],[QTY]]="",NOTA[[#This Row],[HARGA SATUAN]]="",),"",NOTA[[#This Row],[QTY]]*NOTA[[#This Row],[HARGA SATUAN]])</f>
        <v>7470000</v>
      </c>
      <c r="AI317" s="39">
        <f ca="1">IF(NOTA[ID_H]="","",INDEX(NOTA[TANGGAL],MATCH(,INDIRECT(ADDRESS(ROW(NOTA[TANGGAL]),COLUMN(NOTA[TANGGAL]))&amp;":"&amp;ADDRESS(ROW(),COLUMN(NOTA[TANGGAL]))),-1)))</f>
        <v>45275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12</v>
      </c>
      <c r="AN31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2189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6 BOX (6 SET)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67</v>
      </c>
      <c r="E318" s="46"/>
      <c r="F318" s="37"/>
      <c r="G318" s="37"/>
      <c r="H318" s="47"/>
      <c r="I318" s="37"/>
      <c r="J318" s="39"/>
      <c r="K318" s="37"/>
      <c r="L318" s="37" t="s">
        <v>179</v>
      </c>
      <c r="M318" s="40"/>
      <c r="N318" s="38">
        <v>840</v>
      </c>
      <c r="O318" s="37" t="s">
        <v>152</v>
      </c>
      <c r="P318" s="41">
        <v>2300</v>
      </c>
      <c r="Q318" s="42"/>
      <c r="R318" s="48"/>
      <c r="S318" s="49">
        <v>0.125</v>
      </c>
      <c r="T318" s="44">
        <v>0.05</v>
      </c>
      <c r="U318" s="44"/>
      <c r="V318" s="50">
        <v>1605975</v>
      </c>
      <c r="W318" s="45"/>
      <c r="X318" s="50">
        <f>IF(NOTA[[#This Row],[HARGA/ CTN]]="",NOTA[[#This Row],[JUMLAH_H]],NOTA[[#This Row],[HARGA/ CTN]]*IF(NOTA[[#This Row],[C]]="",0,NOTA[[#This Row],[C]]))</f>
        <v>1932000</v>
      </c>
      <c r="Y318" s="50">
        <f>IF(NOTA[[#This Row],[JUMLAH]]="","",NOTA[[#This Row],[JUMLAH]]*NOTA[[#This Row],[DISC 1]])</f>
        <v>241500</v>
      </c>
      <c r="Z318" s="50">
        <f>IF(NOTA[[#This Row],[JUMLAH]]="","",(NOTA[[#This Row],[JUMLAH]]-NOTA[[#This Row],[DISC 1-]])*NOTA[[#This Row],[DISC 2]])</f>
        <v>84525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326025</v>
      </c>
      <c r="AC318" s="50">
        <f>IF(NOTA[[#This Row],[JUMLAH]]="","",NOTA[[#This Row],[JUMLAH]]-NOTA[[#This Row],[DISC]])</f>
        <v>1605975</v>
      </c>
      <c r="AD318" s="50"/>
      <c r="AE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13698975</v>
      </c>
      <c r="AF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43607025</v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1932000</v>
      </c>
      <c r="AH318" s="50">
        <f>IF(OR(NOTA[[#This Row],[QTY]]="",NOTA[[#This Row],[HARGA SATUAN]]="",),"",NOTA[[#This Row],[QTY]]*NOTA[[#This Row],[HARGA SATUAN]])</f>
        <v>1932000</v>
      </c>
      <c r="AI318" s="39">
        <f ca="1">IF(NOTA[ID_H]="","",INDEX(NOTA[TANGGAL],MATCH(,INDIRECT(ADDRESS(ROW(NOTA[TANGGAL]),COLUMN(NOTA[TANGGAL]))&amp;":"&amp;ADDRESS(ROW(),COLUMN(NOTA[TANGGAL]))),-1)))</f>
        <v>45275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12</v>
      </c>
      <c r="AN31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whiteboardmarkerwm65blackjkbonus19320000.1250.05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3083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ATA_1512_669-4</v>
      </c>
      <c r="C320" s="38" t="e">
        <f ca="1">IF(NOTA[[#This Row],[ID_P]]="","",MATCH(NOTA[[#This Row],[ID_P]],[1]!B_MSK[N_ID],0))</f>
        <v>#REF!</v>
      </c>
      <c r="D320" s="38">
        <f ca="1">IF(NOTA[[#This Row],[NAMA BARANG]]="","",INDEX(NOTA[ID],MATCH(,INDIRECT(ADDRESS(ROW(NOTA[ID]),COLUMN(NOTA[ID]))&amp;":"&amp;ADDRESS(ROW(),COLUMN(NOTA[ID]))),-1)))</f>
        <v>68</v>
      </c>
      <c r="E320" s="46">
        <v>45275</v>
      </c>
      <c r="F320" s="37" t="s">
        <v>24</v>
      </c>
      <c r="G320" s="37" t="s">
        <v>23</v>
      </c>
      <c r="H320" s="47" t="s">
        <v>419</v>
      </c>
      <c r="I320" s="37"/>
      <c r="J320" s="39">
        <v>45272</v>
      </c>
      <c r="K320" s="37"/>
      <c r="L320" s="37" t="s">
        <v>172</v>
      </c>
      <c r="M320" s="40">
        <v>1</v>
      </c>
      <c r="N320" s="38">
        <v>1000</v>
      </c>
      <c r="O320" s="37" t="s">
        <v>173</v>
      </c>
      <c r="P320" s="41">
        <v>3000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3000000</v>
      </c>
      <c r="Y320" s="50">
        <f>IF(NOTA[[#This Row],[JUMLAH]]="","",NOTA[[#This Row],[JUMLAH]]*NOTA[[#This Row],[DISC 1]])</f>
        <v>375000</v>
      </c>
      <c r="Z320" s="50">
        <f>IF(NOTA[[#This Row],[JUMLAH]]="","",(NOTA[[#This Row],[JUMLAH]]-NOTA[[#This Row],[DISC 1-]])*NOTA[[#This Row],[DISC 2]])</f>
        <v>131250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506250</v>
      </c>
      <c r="AC320" s="50">
        <f>IF(NOTA[[#This Row],[JUMLAH]]="","",NOTA[[#This Row],[JUMLAH]]-NOTA[[#This Row],[DISC]])</f>
        <v>2493750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320" s="50">
        <f>IF(OR(NOTA[[#This Row],[QTY]]="",NOTA[[#This Row],[HARGA SATUAN]]="",),"",NOTA[[#This Row],[QTY]]*NOTA[[#This Row],[HARGA SATUAN]])</f>
        <v>3000000</v>
      </c>
      <c r="AI320" s="39">
        <f ca="1">IF(NOTA[ID_H]="","",INDEX(NOTA[TANGGAL],MATCH(,INDIRECT(ADDRESS(ROW(NOTA[TANGGAL]),COLUMN(NOTA[TANGGAL]))&amp;":"&amp;ADDRESS(ROW(),COLUMN(NOTA[TANGGAL]))),-1)))</f>
        <v>45275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>
        <f ca="1">IF(NOTA[[#This Row],[ID]]="","",COUNTIF(NOTA[ID_H],NOTA[[#This Row],[ID_H]]))</f>
        <v>4</v>
      </c>
      <c r="AM320" s="38">
        <f>IF(NOTA[[#This Row],[TGL.NOTA]]="",IF(NOTA[[#This Row],[SUPPLIER_H]]="","",AM319),MONTH(NOTA[[#This Row],[TGL.NOTA]]))</f>
        <v>12</v>
      </c>
      <c r="AN32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MOROSA23122166945272labellb1ly1barisyellowjk</v>
      </c>
      <c r="AR320" s="38" t="e">
        <f>IF(NOTA[[#This Row],[CONCAT4]]="","",_xlfn.IFNA(MATCH(NOTA[[#This Row],[CONCAT4]],[2]!RAW[CONCAT_H],0),FALSE))</f>
        <v>#REF!</v>
      </c>
      <c r="AS320" s="38">
        <f>IF(NOTA[[#This Row],[CONCAT1]]="","",MATCH(NOTA[[#This Row],[CONCAT1]],[3]!db[NB NOTA_C],0))</f>
        <v>1865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100 PAK (10 ROL)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68</v>
      </c>
      <c r="E321" s="46"/>
      <c r="F321" s="37"/>
      <c r="G321" s="37"/>
      <c r="H321" s="47"/>
      <c r="I321" s="37"/>
      <c r="J321" s="39"/>
      <c r="K321" s="37"/>
      <c r="L321" s="37" t="s">
        <v>306</v>
      </c>
      <c r="M321" s="40">
        <v>6</v>
      </c>
      <c r="N321" s="38">
        <v>864</v>
      </c>
      <c r="O321" s="37" t="s">
        <v>152</v>
      </c>
      <c r="P321" s="41">
        <v>4350</v>
      </c>
      <c r="Q321" s="42"/>
      <c r="R321" s="48"/>
      <c r="S321" s="49">
        <v>0.125</v>
      </c>
      <c r="T321" s="44">
        <v>0.05</v>
      </c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3758400</v>
      </c>
      <c r="Y321" s="50">
        <f>IF(NOTA[[#This Row],[JUMLAH]]="","",NOTA[[#This Row],[JUMLAH]]*NOTA[[#This Row],[DISC 1]])</f>
        <v>469800</v>
      </c>
      <c r="Z321" s="50">
        <f>IF(NOTA[[#This Row],[JUMLAH]]="","",(NOTA[[#This Row],[JUMLAH]]-NOTA[[#This Row],[DISC 1-]])*NOTA[[#This Row],[DISC 2]])</f>
        <v>164430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634230</v>
      </c>
      <c r="AC321" s="50">
        <f>IF(NOTA[[#This Row],[JUMLAH]]="","",NOTA[[#This Row],[JUMLAH]]-NOTA[[#This Row],[DISC]])</f>
        <v>3124170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21" s="50">
        <f>IF(OR(NOTA[[#This Row],[QTY]]="",NOTA[[#This Row],[HARGA SATUAN]]="",),"",NOTA[[#This Row],[QTY]]*NOTA[[#This Row],[HARGA SATUAN]])</f>
        <v>3758400</v>
      </c>
      <c r="AI321" s="39">
        <f ca="1">IF(NOTA[ID_H]="","",INDEX(NOTA[TANGGAL],MATCH(,INDIRECT(ADDRESS(ROW(NOTA[TANGGAL]),COLUMN(NOTA[TANGGAL]))&amp;":"&amp;ADDRESS(ROW(),COLUMN(NOTA[TANGGAL]))),-1)))</f>
        <v>45275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12</v>
      </c>
      <c r="AN32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2758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12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68</v>
      </c>
      <c r="E322" s="46"/>
      <c r="F322" s="37"/>
      <c r="G322" s="37"/>
      <c r="H322" s="47"/>
      <c r="I322" s="37"/>
      <c r="J322" s="39"/>
      <c r="K322" s="37"/>
      <c r="L322" s="37" t="s">
        <v>420</v>
      </c>
      <c r="M322" s="40">
        <v>6</v>
      </c>
      <c r="N322" s="38">
        <v>864</v>
      </c>
      <c r="O322" s="37" t="s">
        <v>152</v>
      </c>
      <c r="P322" s="41">
        <v>6500</v>
      </c>
      <c r="Q322" s="42"/>
      <c r="R322" s="48"/>
      <c r="S322" s="49">
        <v>0.125</v>
      </c>
      <c r="T322" s="44">
        <v>0.05</v>
      </c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5616000</v>
      </c>
      <c r="Y322" s="50">
        <f>IF(NOTA[[#This Row],[JUMLAH]]="","",NOTA[[#This Row],[JUMLAH]]*NOTA[[#This Row],[DISC 1]])</f>
        <v>702000</v>
      </c>
      <c r="Z322" s="50">
        <f>IF(NOTA[[#This Row],[JUMLAH]]="","",(NOTA[[#This Row],[JUMLAH]]-NOTA[[#This Row],[DISC 1-]])*NOTA[[#This Row],[DISC 2]])</f>
        <v>245700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947700</v>
      </c>
      <c r="AC322" s="50">
        <f>IF(NOTA[[#This Row],[JUMLAH]]="","",NOTA[[#This Row],[JUMLAH]]-NOTA[[#This Row],[DISC]])</f>
        <v>4668300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22" s="50">
        <f>IF(OR(NOTA[[#This Row],[QTY]]="",NOTA[[#This Row],[HARGA SATUAN]]="",),"",NOTA[[#This Row],[QTY]]*NOTA[[#This Row],[HARGA SATUAN]])</f>
        <v>5616000</v>
      </c>
      <c r="AI322" s="39">
        <f ca="1">IF(NOTA[ID_H]="","",INDEX(NOTA[TANGGAL],MATCH(,INDIRECT(ADDRESS(ROW(NOTA[TANGGAL]),COLUMN(NOTA[TANGGAL]))&amp;":"&amp;ADDRESS(ROW(),COLUMN(NOTA[TANGGAL]))),-1)))</f>
        <v>45275</v>
      </c>
      <c r="AJ322" s="41" t="str">
        <f ca="1">IF(NOTA[[#This Row],[NAMA BARANG]]="","",INDEX(NOTA[SUPPLIER],MATCH(,INDIRECT(ADDRESS(ROW(NOTA[ID]),COLUMN(NOTA[ID]))&amp;":"&amp;ADDRESS(ROW(),COLUMN(NOTA[ID]))),-1)))</f>
        <v>ATALI MAKMUR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12</v>
      </c>
      <c r="AN322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2760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12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68</v>
      </c>
      <c r="E323" s="46"/>
      <c r="F323" s="37"/>
      <c r="G323" s="37"/>
      <c r="H323" s="47"/>
      <c r="I323" s="37"/>
      <c r="J323" s="39"/>
      <c r="K323" s="37"/>
      <c r="L323" s="37" t="s">
        <v>421</v>
      </c>
      <c r="M323" s="40">
        <v>2</v>
      </c>
      <c r="N323" s="38">
        <v>480</v>
      </c>
      <c r="O323" s="37" t="s">
        <v>160</v>
      </c>
      <c r="P323" s="41">
        <v>8800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4224000</v>
      </c>
      <c r="Y323" s="50">
        <f>IF(NOTA[[#This Row],[JUMLAH]]="","",NOTA[[#This Row],[JUMLAH]]*NOTA[[#This Row],[DISC 1]])</f>
        <v>528000</v>
      </c>
      <c r="Z323" s="50">
        <f>IF(NOTA[[#This Row],[JUMLAH]]="","",(NOTA[[#This Row],[JUMLAH]]-NOTA[[#This Row],[DISC 1-]])*NOTA[[#This Row],[DISC 2]])</f>
        <v>184800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712800</v>
      </c>
      <c r="AC323" s="50">
        <f>IF(NOTA[[#This Row],[JUMLAH]]="","",NOTA[[#This Row],[JUMLAH]]-NOTA[[#This Row],[DISC]])</f>
        <v>3511200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2800980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13797420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3" s="50">
        <f>IF(OR(NOTA[[#This Row],[QTY]]="",NOTA[[#This Row],[HARGA SATUAN]]="",),"",NOTA[[#This Row],[QTY]]*NOTA[[#This Row],[HARGA SATUAN]])</f>
        <v>4224000</v>
      </c>
      <c r="AI323" s="39">
        <f ca="1">IF(NOTA[ID_H]="","",INDEX(NOTA[TANGGAL],MATCH(,INDIRECT(ADDRESS(ROW(NOTA[TANGGAL]),COLUMN(NOTA[TANGGAL]))&amp;":"&amp;ADDRESS(ROW(),COLUMN(NOTA[TANGGAL]))),-1)))</f>
        <v>45275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12</v>
      </c>
      <c r="AN323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478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10 BOX (24 SET)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ATA_1512_568-7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69</v>
      </c>
      <c r="E325" s="46">
        <v>45275</v>
      </c>
      <c r="F325" s="37" t="s">
        <v>24</v>
      </c>
      <c r="G325" s="37" t="s">
        <v>23</v>
      </c>
      <c r="H325" s="47" t="s">
        <v>422</v>
      </c>
      <c r="I325" s="37"/>
      <c r="J325" s="39">
        <v>45271</v>
      </c>
      <c r="K325" s="37"/>
      <c r="L325" s="37" t="s">
        <v>321</v>
      </c>
      <c r="M325" s="40">
        <v>2</v>
      </c>
      <c r="N325" s="38">
        <v>6</v>
      </c>
      <c r="O325" s="37" t="s">
        <v>182</v>
      </c>
      <c r="P325" s="41">
        <v>507600</v>
      </c>
      <c r="Q325" s="42"/>
      <c r="R325" s="48"/>
      <c r="S325" s="49">
        <v>0.125</v>
      </c>
      <c r="T325" s="44">
        <v>0.1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3045600</v>
      </c>
      <c r="Y325" s="50">
        <f>IF(NOTA[[#This Row],[JUMLAH]]="","",NOTA[[#This Row],[JUMLAH]]*NOTA[[#This Row],[DISC 1]])</f>
        <v>380700</v>
      </c>
      <c r="Z325" s="50">
        <f>IF(NOTA[[#This Row],[JUMLAH]]="","",(NOTA[[#This Row],[JUMLAH]]-NOTA[[#This Row],[DISC 1-]])*NOTA[[#This Row],[DISC 2]])</f>
        <v>266490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647190</v>
      </c>
      <c r="AC325" s="50">
        <f>IF(NOTA[[#This Row],[JUMLAH]]="","",NOTA[[#This Row],[JUMLAH]]-NOTA[[#This Row],[DISC]])</f>
        <v>2398410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325" s="50">
        <f>IF(OR(NOTA[[#This Row],[QTY]]="",NOTA[[#This Row],[HARGA SATUAN]]="",),"",NOTA[[#This Row],[QTY]]*NOTA[[#This Row],[HARGA SATUAN]])</f>
        <v>3045600</v>
      </c>
      <c r="AI325" s="39">
        <f ca="1">IF(NOTA[ID_H]="","",INDEX(NOTA[TANGGAL],MATCH(,INDIRECT(ADDRESS(ROW(NOTA[TANGGAL]),COLUMN(NOTA[TANGGAL]))&amp;":"&amp;ADDRESS(ROW(),COLUMN(NOTA[TANGGAL]))),-1)))</f>
        <v>45275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7</v>
      </c>
      <c r="AM325" s="38">
        <f>IF(NOTA[[#This Row],[TGL.NOTA]]="",IF(NOTA[[#This Row],[SUPPLIER_H]]="","",AM324),MONTH(NOTA[[#This Row],[TGL.NOTA]]))</f>
        <v>12</v>
      </c>
      <c r="AN325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MOROSA23122156845271binderclip280jk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306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3 GRS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570</v>
      </c>
      <c r="M326" s="40"/>
      <c r="N326" s="38">
        <v>12</v>
      </c>
      <c r="O326" s="37" t="s">
        <v>130</v>
      </c>
      <c r="P326" s="41">
        <v>13200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158400</v>
      </c>
      <c r="Y326" s="50">
        <f>IF(NOTA[[#This Row],[JUMLAH]]="","",NOTA[[#This Row],[JUMLAH]]*NOTA[[#This Row],[DISC 1]])</f>
        <v>19800</v>
      </c>
      <c r="Z326" s="50">
        <f>IF(NOTA[[#This Row],[JUMLAH]]="","",(NOTA[[#This Row],[JUMLAH]]-NOTA[[#This Row],[DISC 1-]])*NOTA[[#This Row],[DISC 2]])</f>
        <v>6930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26730</v>
      </c>
      <c r="AC326" s="50">
        <f>IF(NOTA[[#This Row],[JUMLAH]]="","",NOTA[[#This Row],[JUMLAH]]-NOTA[[#This Row],[DISC]])</f>
        <v>131670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26" s="50">
        <f>IF(OR(NOTA[[#This Row],[QTY]]="",NOTA[[#This Row],[HARGA SATUAN]]="",),"",NOTA[[#This Row],[QTY]]*NOTA[[#This Row],[HARGA SATUAN]])</f>
        <v>158400</v>
      </c>
      <c r="AI326" s="39">
        <f ca="1">IF(NOTA[ID_H]="","",INDEX(NOTA[TANGGAL],MATCH(,INDIRECT(ADDRESS(ROW(NOTA[TANGGAL]),COLUMN(NOTA[TANGGAL]))&amp;":"&amp;ADDRESS(ROW(),COLUMN(NOTA[TANGGAL]))),-1)))</f>
        <v>45275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12</v>
      </c>
      <c r="AN32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131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144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69</v>
      </c>
      <c r="E327" s="46"/>
      <c r="F327" s="37"/>
      <c r="G327" s="37"/>
      <c r="H327" s="47"/>
      <c r="I327" s="37"/>
      <c r="J327" s="39"/>
      <c r="K327" s="37"/>
      <c r="L327" s="37" t="s">
        <v>178</v>
      </c>
      <c r="M327" s="40">
        <v>5</v>
      </c>
      <c r="N327" s="38">
        <v>720</v>
      </c>
      <c r="O327" s="37" t="s">
        <v>160</v>
      </c>
      <c r="P327" s="41">
        <v>11900</v>
      </c>
      <c r="Q327" s="42"/>
      <c r="R327" s="48"/>
      <c r="S327" s="49">
        <v>0.125</v>
      </c>
      <c r="T327" s="44">
        <v>0.1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8568000</v>
      </c>
      <c r="Y327" s="50">
        <f>IF(NOTA[[#This Row],[JUMLAH]]="","",NOTA[[#This Row],[JUMLAH]]*NOTA[[#This Row],[DISC 1]])</f>
        <v>1071000</v>
      </c>
      <c r="Z327" s="50">
        <f>IF(NOTA[[#This Row],[JUMLAH]]="","",(NOTA[[#This Row],[JUMLAH]]-NOTA[[#This Row],[DISC 1-]])*NOTA[[#This Row],[DISC 2]])</f>
        <v>749700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1820700</v>
      </c>
      <c r="AC327" s="50">
        <f>IF(NOTA[[#This Row],[JUMLAH]]="","",NOTA[[#This Row],[JUMLAH]]-NOTA[[#This Row],[DISC]])</f>
        <v>6747300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27" s="50">
        <f>IF(OR(NOTA[[#This Row],[QTY]]="",NOTA[[#This Row],[HARGA SATUAN]]="",),"",NOTA[[#This Row],[QTY]]*NOTA[[#This Row],[HARGA SATUAN]])</f>
        <v>8568000</v>
      </c>
      <c r="AI327" s="39">
        <f ca="1">IF(NOTA[ID_H]="","",INDEX(NOTA[TANGGAL],MATCH(,INDIRECT(ADDRESS(ROW(NOTA[TANGGAL]),COLUMN(NOTA[TANGGAL]))&amp;":"&amp;ADDRESS(ROW(),COLUMN(NOTA[TANGGAL]))),-1)))</f>
        <v>45275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12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2186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12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69</v>
      </c>
      <c r="E328" s="46"/>
      <c r="F328" s="37"/>
      <c r="G328" s="37"/>
      <c r="H328" s="47"/>
      <c r="I328" s="37"/>
      <c r="J328" s="39"/>
      <c r="K328" s="37"/>
      <c r="L328" s="37" t="s">
        <v>236</v>
      </c>
      <c r="M328" s="40">
        <v>2</v>
      </c>
      <c r="N328" s="38">
        <v>144</v>
      </c>
      <c r="O328" s="37" t="s">
        <v>160</v>
      </c>
      <c r="P328" s="41">
        <v>23000</v>
      </c>
      <c r="Q328" s="42"/>
      <c r="R328" s="48"/>
      <c r="S328" s="49">
        <v>0.125</v>
      </c>
      <c r="T328" s="44">
        <v>0.1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3312000</v>
      </c>
      <c r="Y328" s="50">
        <f>IF(NOTA[[#This Row],[JUMLAH]]="","",NOTA[[#This Row],[JUMLAH]]*NOTA[[#This Row],[DISC 1]])</f>
        <v>414000</v>
      </c>
      <c r="Z328" s="50">
        <f>IF(NOTA[[#This Row],[JUMLAH]]="","",(NOTA[[#This Row],[JUMLAH]]-NOTA[[#This Row],[DISC 1-]])*NOTA[[#This Row],[DISC 2]])</f>
        <v>289800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703800</v>
      </c>
      <c r="AC328" s="50">
        <f>IF(NOTA[[#This Row],[JUMLAH]]="","",NOTA[[#This Row],[JUMLAH]]-NOTA[[#This Row],[DISC]])</f>
        <v>2608200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28" s="50">
        <f>IF(OR(NOTA[[#This Row],[QTY]]="",NOTA[[#This Row],[HARGA SATUAN]]="",),"",NOTA[[#This Row],[QTY]]*NOTA[[#This Row],[HARGA SATUAN]])</f>
        <v>3312000</v>
      </c>
      <c r="AI328" s="39">
        <f ca="1">IF(NOTA[ID_H]="","",INDEX(NOTA[TANGGAL],MATCH(,INDIRECT(ADDRESS(ROW(NOTA[TANGGAL]),COLUMN(NOTA[TANGGAL]))&amp;":"&amp;ADDRESS(ROW(),COLUMN(NOTA[TANGGAL]))),-1)))</f>
        <v>45275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12</v>
      </c>
      <c r="AN3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2187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6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69</v>
      </c>
      <c r="E329" s="46"/>
      <c r="F329" s="37"/>
      <c r="G329" s="37"/>
      <c r="H329" s="47"/>
      <c r="I329" s="37"/>
      <c r="J329" s="39"/>
      <c r="K329" s="37"/>
      <c r="L329" s="37" t="s">
        <v>238</v>
      </c>
      <c r="M329" s="40">
        <v>2</v>
      </c>
      <c r="N329" s="38">
        <v>96</v>
      </c>
      <c r="O329" s="37" t="s">
        <v>160</v>
      </c>
      <c r="P329" s="41">
        <v>29600</v>
      </c>
      <c r="Q329" s="42"/>
      <c r="R329" s="48"/>
      <c r="S329" s="49">
        <v>0.125</v>
      </c>
      <c r="T329" s="44">
        <v>0.1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2841600</v>
      </c>
      <c r="Y329" s="50">
        <f>IF(NOTA[[#This Row],[JUMLAH]]="","",NOTA[[#This Row],[JUMLAH]]*NOTA[[#This Row],[DISC 1]])</f>
        <v>355200</v>
      </c>
      <c r="Z329" s="50">
        <f>IF(NOTA[[#This Row],[JUMLAH]]="","",(NOTA[[#This Row],[JUMLAH]]-NOTA[[#This Row],[DISC 1-]])*NOTA[[#This Row],[DISC 2]])</f>
        <v>248640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603840</v>
      </c>
      <c r="AC329" s="50">
        <f>IF(NOTA[[#This Row],[JUMLAH]]="","",NOTA[[#This Row],[JUMLAH]]-NOTA[[#This Row],[DISC]])</f>
        <v>2237760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29" s="50">
        <f>IF(OR(NOTA[[#This Row],[QTY]]="",NOTA[[#This Row],[HARGA SATUAN]]="",),"",NOTA[[#This Row],[QTY]]*NOTA[[#This Row],[HARGA SATUAN]])</f>
        <v>2841600</v>
      </c>
      <c r="AI329" s="39">
        <f ca="1">IF(NOTA[ID_H]="","",INDEX(NOTA[TANGGAL],MATCH(,INDIRECT(ADDRESS(ROW(NOTA[TANGGAL]),COLUMN(NOTA[TANGGAL]))&amp;":"&amp;ADDRESS(ROW(),COLUMN(NOTA[TANGGAL]))),-1)))</f>
        <v>45275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12</v>
      </c>
      <c r="AN3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2188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8 BOX (6 SET)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69</v>
      </c>
      <c r="E330" s="46"/>
      <c r="F330" s="37"/>
      <c r="G330" s="37"/>
      <c r="H330" s="47"/>
      <c r="I330" s="37"/>
      <c r="J330" s="39"/>
      <c r="K330" s="37"/>
      <c r="L330" s="37" t="s">
        <v>237</v>
      </c>
      <c r="M330" s="40">
        <v>2</v>
      </c>
      <c r="N330" s="38">
        <v>72</v>
      </c>
      <c r="O330" s="37" t="s">
        <v>160</v>
      </c>
      <c r="P330" s="41">
        <v>41500</v>
      </c>
      <c r="Q330" s="42"/>
      <c r="R330" s="48"/>
      <c r="S330" s="49">
        <v>0.125</v>
      </c>
      <c r="T330" s="44">
        <v>0.1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2988000</v>
      </c>
      <c r="Y330" s="50">
        <f>IF(NOTA[[#This Row],[JUMLAH]]="","",NOTA[[#This Row],[JUMLAH]]*NOTA[[#This Row],[DISC 1]])</f>
        <v>373500</v>
      </c>
      <c r="Z330" s="50">
        <f>IF(NOTA[[#This Row],[JUMLAH]]="","",(NOTA[[#This Row],[JUMLAH]]-NOTA[[#This Row],[DISC 1-]])*NOTA[[#This Row],[DISC 2]])</f>
        <v>261450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634950</v>
      </c>
      <c r="AC330" s="50">
        <f>IF(NOTA[[#This Row],[JUMLAH]]="","",NOTA[[#This Row],[JUMLAH]]-NOTA[[#This Row],[DISC]])</f>
        <v>2353050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0" s="50">
        <f>IF(OR(NOTA[[#This Row],[QTY]]="",NOTA[[#This Row],[HARGA SATUAN]]="",),"",NOTA[[#This Row],[QTY]]*NOTA[[#This Row],[HARGA SATUAN]])</f>
        <v>2988000</v>
      </c>
      <c r="AI330" s="39">
        <f ca="1">IF(NOTA[ID_H]="","",INDEX(NOTA[TANGGAL],MATCH(,INDIRECT(ADDRESS(ROW(NOTA[TANGGAL]),COLUMN(NOTA[TANGGAL]))&amp;":"&amp;ADDRESS(ROW(),COLUMN(NOTA[TANGGAL]))),-1)))</f>
        <v>45275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12</v>
      </c>
      <c r="AN3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2189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6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69</v>
      </c>
      <c r="E331" s="46"/>
      <c r="F331" s="37"/>
      <c r="G331" s="37"/>
      <c r="H331" s="47"/>
      <c r="I331" s="37"/>
      <c r="J331" s="39"/>
      <c r="K331" s="37"/>
      <c r="L331" s="37" t="s">
        <v>179</v>
      </c>
      <c r="M331" s="40"/>
      <c r="N331" s="38">
        <v>264</v>
      </c>
      <c r="O331" s="37" t="s">
        <v>152</v>
      </c>
      <c r="P331" s="41">
        <v>2300</v>
      </c>
      <c r="Q331" s="42"/>
      <c r="R331" s="48"/>
      <c r="S331" s="49">
        <v>0.125</v>
      </c>
      <c r="T331" s="44">
        <v>0.05</v>
      </c>
      <c r="U331" s="44"/>
      <c r="V331" s="50">
        <v>636405</v>
      </c>
      <c r="W331" s="45"/>
      <c r="X331" s="50">
        <f>IF(NOTA[[#This Row],[HARGA/ CTN]]="",NOTA[[#This Row],[JUMLAH_H]],NOTA[[#This Row],[HARGA/ CTN]]*IF(NOTA[[#This Row],[C]]="",0,NOTA[[#This Row],[C]]))</f>
        <v>607200</v>
      </c>
      <c r="Y331" s="50">
        <f>IF(NOTA[[#This Row],[JUMLAH]]="","",NOTA[[#This Row],[JUMLAH]]*NOTA[[#This Row],[DISC 1]])</f>
        <v>75900</v>
      </c>
      <c r="Z331" s="50">
        <f>IF(NOTA[[#This Row],[JUMLAH]]="","",(NOTA[[#This Row],[JUMLAH]]-NOTA[[#This Row],[DISC 1-]])*NOTA[[#This Row],[DISC 2]])</f>
        <v>26565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102465</v>
      </c>
      <c r="AC331" s="50">
        <f>IF(NOTA[[#This Row],[JUMLAH]]="","",NOTA[[#This Row],[JUMLAH]]-NOTA[[#This Row],[DISC]])</f>
        <v>504735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5176080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16344720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607200</v>
      </c>
      <c r="AH331" s="50">
        <f>IF(OR(NOTA[[#This Row],[QTY]]="",NOTA[[#This Row],[HARGA SATUAN]]="",),"",NOTA[[#This Row],[QTY]]*NOTA[[#This Row],[HARGA SATUAN]])</f>
        <v>607200</v>
      </c>
      <c r="AI331" s="39">
        <f ca="1">IF(NOTA[ID_H]="","",INDEX(NOTA[TANGGAL],MATCH(,INDIRECT(ADDRESS(ROW(NOTA[TANGGAL]),COLUMN(NOTA[TANGGAL]))&amp;":"&amp;ADDRESS(ROW(),COLUMN(NOTA[TANGGAL]))),-1)))</f>
        <v>45275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12</v>
      </c>
      <c r="AN33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whiteboardmarkerwm65blackjkbonus6072000.1250.05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3083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48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ATA_1512_641-6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70</v>
      </c>
      <c r="E333" s="46">
        <v>45275</v>
      </c>
      <c r="F333" s="36" t="s">
        <v>24</v>
      </c>
      <c r="G333" s="37" t="s">
        <v>23</v>
      </c>
      <c r="H333" s="47" t="s">
        <v>423</v>
      </c>
      <c r="I333" s="37"/>
      <c r="J333" s="39">
        <v>45271</v>
      </c>
      <c r="K333" s="37"/>
      <c r="L333" s="37" t="s">
        <v>178</v>
      </c>
      <c r="M333" s="40">
        <v>3</v>
      </c>
      <c r="N333" s="38">
        <v>432</v>
      </c>
      <c r="O333" s="37" t="s">
        <v>160</v>
      </c>
      <c r="P333" s="42">
        <v>11900</v>
      </c>
      <c r="Q333" s="42"/>
      <c r="R333" s="48"/>
      <c r="S333" s="49">
        <v>0.125</v>
      </c>
      <c r="T333" s="44">
        <v>0.1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5140800</v>
      </c>
      <c r="Y333" s="50">
        <f>IF(NOTA[[#This Row],[JUMLAH]]="","",NOTA[[#This Row],[JUMLAH]]*NOTA[[#This Row],[DISC 1]])</f>
        <v>642600</v>
      </c>
      <c r="Z333" s="50">
        <f>IF(NOTA[[#This Row],[JUMLAH]]="","",(NOTA[[#This Row],[JUMLAH]]-NOTA[[#This Row],[DISC 1-]])*NOTA[[#This Row],[DISC 2]])</f>
        <v>449820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1092420</v>
      </c>
      <c r="AC333" s="50">
        <f>IF(NOTA[[#This Row],[JUMLAH]]="","",NOTA[[#This Row],[JUMLAH]]-NOTA[[#This Row],[DISC]])</f>
        <v>4048380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3" s="50">
        <f>IF(OR(NOTA[[#This Row],[QTY]]="",NOTA[[#This Row],[HARGA SATUAN]]="",),"",NOTA[[#This Row],[QTY]]*NOTA[[#This Row],[HARGA SATUAN]])</f>
        <v>5140800</v>
      </c>
      <c r="AI333" s="39">
        <f ca="1">IF(NOTA[ID_H]="","",INDEX(NOTA[TANGGAL],MATCH(,INDIRECT(ADDRESS(ROW(NOTA[TANGGAL]),COLUMN(NOTA[TANGGAL]))&amp;":"&amp;ADDRESS(ROW(),COLUMN(NOTA[TANGGAL]))),-1)))</f>
        <v>45275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>
        <f ca="1">IF(NOTA[[#This Row],[ID]]="","",COUNTIF(NOTA[ID_H],NOTA[[#This Row],[ID_H]]))</f>
        <v>6</v>
      </c>
      <c r="AM333" s="38">
        <f>IF(NOTA[[#This Row],[TGL.NOTA]]="",IF(NOTA[[#This Row],[SUPPLIER_H]]="","",AM332),MONTH(NOTA[[#This Row],[TGL.NOTA]]))</f>
        <v>12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MOROSA23122164145271oilpastelop12sppcaseseaworldjk</v>
      </c>
      <c r="AR333" s="38" t="e">
        <f>IF(NOTA[[#This Row],[CONCAT4]]="","",_xlfn.IFNA(MATCH(NOTA[[#This Row],[CONCAT4]],[2]!RAW[CONCAT_H],0),FALSE))</f>
        <v>#REF!</v>
      </c>
      <c r="AS333" s="38">
        <f>IF(NOTA[[#This Row],[CONCAT1]]="","",MATCH(NOTA[[#This Row],[CONCAT1]],[3]!db[NB NOTA_C],0))</f>
        <v>2186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12 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236</v>
      </c>
      <c r="M334" s="40">
        <v>3</v>
      </c>
      <c r="N334" s="38">
        <v>216</v>
      </c>
      <c r="O334" s="37" t="s">
        <v>160</v>
      </c>
      <c r="P334" s="41">
        <v>23000</v>
      </c>
      <c r="Q334" s="42"/>
      <c r="R334" s="48"/>
      <c r="S334" s="49">
        <v>0.125</v>
      </c>
      <c r="T334" s="44">
        <v>0.1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4968000</v>
      </c>
      <c r="Y334" s="50">
        <f>IF(NOTA[[#This Row],[JUMLAH]]="","",NOTA[[#This Row],[JUMLAH]]*NOTA[[#This Row],[DISC 1]])</f>
        <v>621000</v>
      </c>
      <c r="Z334" s="50">
        <f>IF(NOTA[[#This Row],[JUMLAH]]="","",(NOTA[[#This Row],[JUMLAH]]-NOTA[[#This Row],[DISC 1-]])*NOTA[[#This Row],[DISC 2]])</f>
        <v>434700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1055700</v>
      </c>
      <c r="AC334" s="50">
        <f>IF(NOTA[[#This Row],[JUMLAH]]="","",NOTA[[#This Row],[JUMLAH]]-NOTA[[#This Row],[DISC]])</f>
        <v>3912300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4" s="50">
        <f>IF(OR(NOTA[[#This Row],[QTY]]="",NOTA[[#This Row],[HARGA SATUAN]]="",),"",NOTA[[#This Row],[QTY]]*NOTA[[#This Row],[HARGA SATUAN]])</f>
        <v>4968000</v>
      </c>
      <c r="AI334" s="39">
        <f ca="1">IF(NOTA[ID_H]="","",INDEX(NOTA[TANGGAL],MATCH(,INDIRECT(ADDRESS(ROW(NOTA[TANGGAL]),COLUMN(NOTA[TANGGAL]))&amp;":"&amp;ADDRESS(ROW(),COLUMN(NOTA[TANGGAL]))),-1)))</f>
        <v>45275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12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2187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238</v>
      </c>
      <c r="M335" s="40">
        <v>4</v>
      </c>
      <c r="N335" s="38">
        <v>192</v>
      </c>
      <c r="O335" s="37" t="s">
        <v>160</v>
      </c>
      <c r="P335" s="41">
        <v>29600</v>
      </c>
      <c r="Q335" s="42"/>
      <c r="R335" s="48"/>
      <c r="S335" s="49">
        <v>0.125</v>
      </c>
      <c r="T335" s="44">
        <v>0.1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5683200</v>
      </c>
      <c r="Y335" s="50">
        <f>IF(NOTA[[#This Row],[JUMLAH]]="","",NOTA[[#This Row],[JUMLAH]]*NOTA[[#This Row],[DISC 1]])</f>
        <v>710400</v>
      </c>
      <c r="Z335" s="50">
        <f>IF(NOTA[[#This Row],[JUMLAH]]="","",(NOTA[[#This Row],[JUMLAH]]-NOTA[[#This Row],[DISC 1-]])*NOTA[[#This Row],[DISC 2]])</f>
        <v>497280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1207680</v>
      </c>
      <c r="AC335" s="50">
        <f>IF(NOTA[[#This Row],[JUMLAH]]="","",NOTA[[#This Row],[JUMLAH]]-NOTA[[#This Row],[DISC]])</f>
        <v>4475520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5" s="50">
        <f>IF(OR(NOTA[[#This Row],[QTY]]="",NOTA[[#This Row],[HARGA SATUAN]]="",),"",NOTA[[#This Row],[QTY]]*NOTA[[#This Row],[HARGA SATUAN]])</f>
        <v>5683200</v>
      </c>
      <c r="AI335" s="39">
        <f ca="1">IF(NOTA[ID_H]="","",INDEX(NOTA[TANGGAL],MATCH(,INDIRECT(ADDRESS(ROW(NOTA[TANGGAL]),COLUMN(NOTA[TANGGAL]))&amp;":"&amp;ADDRESS(ROW(),COLUMN(NOTA[TANGGAL]))),-1)))</f>
        <v>45275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12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2188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8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70</v>
      </c>
      <c r="E336" s="46"/>
      <c r="F336" s="37"/>
      <c r="G336" s="37"/>
      <c r="H336" s="47"/>
      <c r="I336" s="37"/>
      <c r="J336" s="39"/>
      <c r="K336" s="37"/>
      <c r="L336" s="37" t="s">
        <v>237</v>
      </c>
      <c r="M336" s="40">
        <v>4</v>
      </c>
      <c r="N336" s="38">
        <v>144</v>
      </c>
      <c r="O336" s="37" t="s">
        <v>160</v>
      </c>
      <c r="P336" s="41">
        <v>41500</v>
      </c>
      <c r="Q336" s="42"/>
      <c r="R336" s="48"/>
      <c r="S336" s="49">
        <v>0.125</v>
      </c>
      <c r="T336" s="44">
        <v>0.1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5976000</v>
      </c>
      <c r="Y336" s="50">
        <f>IF(NOTA[[#This Row],[JUMLAH]]="","",NOTA[[#This Row],[JUMLAH]]*NOTA[[#This Row],[DISC 1]])</f>
        <v>747000</v>
      </c>
      <c r="Z336" s="50">
        <f>IF(NOTA[[#This Row],[JUMLAH]]="","",(NOTA[[#This Row],[JUMLAH]]-NOTA[[#This Row],[DISC 1-]])*NOTA[[#This Row],[DISC 2]])</f>
        <v>522900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1269900</v>
      </c>
      <c r="AC336" s="50">
        <f>IF(NOTA[[#This Row],[JUMLAH]]="","",NOTA[[#This Row],[JUMLAH]]-NOTA[[#This Row],[DISC]])</f>
        <v>4706100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6" s="50">
        <f>IF(OR(NOTA[[#This Row],[QTY]]="",NOTA[[#This Row],[HARGA SATUAN]]="",),"",NOTA[[#This Row],[QTY]]*NOTA[[#This Row],[HARGA SATUAN]])</f>
        <v>5976000</v>
      </c>
      <c r="AI336" s="39">
        <f ca="1">IF(NOTA[ID_H]="","",INDEX(NOTA[TANGGAL],MATCH(,INDIRECT(ADDRESS(ROW(NOTA[TANGGAL]),COLUMN(NOTA[TANGGAL]))&amp;":"&amp;ADDRESS(ROW(),COLUMN(NOTA[TANGGAL]))),-1)))</f>
        <v>45275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12</v>
      </c>
      <c r="AN33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2189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6 BOX (6 SET)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70</v>
      </c>
      <c r="E337" s="46"/>
      <c r="F337" s="37"/>
      <c r="G337" s="37"/>
      <c r="H337" s="47"/>
      <c r="I337" s="37"/>
      <c r="J337" s="39"/>
      <c r="K337" s="37"/>
      <c r="L337" s="37" t="s">
        <v>424</v>
      </c>
      <c r="M337" s="40">
        <v>3</v>
      </c>
      <c r="N337" s="38">
        <v>432</v>
      </c>
      <c r="O337" s="37" t="s">
        <v>160</v>
      </c>
      <c r="P337" s="41">
        <v>23900</v>
      </c>
      <c r="Q337" s="42"/>
      <c r="R337" s="48"/>
      <c r="S337" s="49">
        <v>0.125</v>
      </c>
      <c r="T337" s="44">
        <v>0.1</v>
      </c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10324800</v>
      </c>
      <c r="Y337" s="50">
        <f>IF(NOTA[[#This Row],[JUMLAH]]="","",NOTA[[#This Row],[JUMLAH]]*NOTA[[#This Row],[DISC 1]])</f>
        <v>1290600</v>
      </c>
      <c r="Z337" s="50">
        <f>IF(NOTA[[#This Row],[JUMLAH]]="","",(NOTA[[#This Row],[JUMLAH]]-NOTA[[#This Row],[DISC 1-]])*NOTA[[#This Row],[DISC 2]])</f>
        <v>903420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2194020</v>
      </c>
      <c r="AC337" s="50">
        <f>IF(NOTA[[#This Row],[JUMLAH]]="","",NOTA[[#This Row],[JUMLAH]]-NOTA[[#This Row],[DISC]])</f>
        <v>8130780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37" s="50">
        <f>IF(OR(NOTA[[#This Row],[QTY]]="",NOTA[[#This Row],[HARGA SATUAN]]="",),"",NOTA[[#This Row],[QTY]]*NOTA[[#This Row],[HARGA SATUAN]])</f>
        <v>10324800</v>
      </c>
      <c r="AI337" s="39">
        <f ca="1">IF(NOTA[ID_H]="","",INDEX(NOTA[TANGGAL],MATCH(,INDIRECT(ADDRESS(ROW(NOTA[TANGGAL]),COLUMN(NOTA[TANGGAL]))&amp;":"&amp;ADDRESS(ROW(),COLUMN(NOTA[TANGGAL]))),-1)))</f>
        <v>45275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12</v>
      </c>
      <c r="AN33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771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70</v>
      </c>
      <c r="E338" s="46"/>
      <c r="F338" s="37"/>
      <c r="G338" s="37"/>
      <c r="H338" s="47"/>
      <c r="I338" s="37"/>
      <c r="J338" s="39"/>
      <c r="K338" s="37"/>
      <c r="L338" s="37" t="s">
        <v>179</v>
      </c>
      <c r="M338" s="40"/>
      <c r="N338" s="38">
        <v>408</v>
      </c>
      <c r="O338" s="37" t="s">
        <v>152</v>
      </c>
      <c r="P338" s="41">
        <v>2300</v>
      </c>
      <c r="Q338" s="42"/>
      <c r="R338" s="48"/>
      <c r="S338" s="49">
        <v>0.125</v>
      </c>
      <c r="T338" s="44">
        <v>0.05</v>
      </c>
      <c r="U338" s="44"/>
      <c r="V338" s="50">
        <v>780045</v>
      </c>
      <c r="W338" s="45"/>
      <c r="X338" s="50">
        <f>IF(NOTA[[#This Row],[HARGA/ CTN]]="",NOTA[[#This Row],[JUMLAH_H]],NOTA[[#This Row],[HARGA/ CTN]]*IF(NOTA[[#This Row],[C]]="",0,NOTA[[#This Row],[C]]))</f>
        <v>938400</v>
      </c>
      <c r="Y338" s="50">
        <f>IF(NOTA[[#This Row],[JUMLAH]]="","",NOTA[[#This Row],[JUMLAH]]*NOTA[[#This Row],[DISC 1]])</f>
        <v>117300</v>
      </c>
      <c r="Z338" s="50">
        <f>IF(NOTA[[#This Row],[JUMLAH]]="","",(NOTA[[#This Row],[JUMLAH]]-NOTA[[#This Row],[DISC 1-]])*NOTA[[#This Row],[DISC 2]])</f>
        <v>41055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158355</v>
      </c>
      <c r="AC338" s="50">
        <f>IF(NOTA[[#This Row],[JUMLAH]]="","",NOTA[[#This Row],[JUMLAH]]-NOTA[[#This Row],[DISC]])</f>
        <v>780045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7758120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25273080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938400</v>
      </c>
      <c r="AH338" s="50">
        <f>IF(OR(NOTA[[#This Row],[QTY]]="",NOTA[[#This Row],[HARGA SATUAN]]="",),"",NOTA[[#This Row],[QTY]]*NOTA[[#This Row],[HARGA SATUAN]])</f>
        <v>938400</v>
      </c>
      <c r="AI338" s="39">
        <f ca="1">IF(NOTA[ID_H]="","",INDEX(NOTA[TANGGAL],MATCH(,INDIRECT(ADDRESS(ROW(NOTA[TANGGAL]),COLUMN(NOTA[TANGGAL]))&amp;":"&amp;ADDRESS(ROW(),COLUMN(NOTA[TANGGAL]))),-1)))</f>
        <v>45275</v>
      </c>
      <c r="AJ338" s="41" t="str">
        <f ca="1">IF(NOTA[[#This Row],[NAMA BARANG]]="","",INDEX(NOTA[SUPPLIER],MATCH(,INDIRECT(ADDRESS(ROW(NOTA[ID]),COLUMN(NOTA[ID]))&amp;":"&amp;ADDRESS(ROW(),COLUMN(NOTA[ID]))),-1)))</f>
        <v>ATALI MAKMUR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12</v>
      </c>
      <c r="AN3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whiteboardmarkerwm65blackjkbonus9384000.1250.05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3083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48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GLO_1912_-8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71</v>
      </c>
      <c r="E340" s="46">
        <v>45279</v>
      </c>
      <c r="F340" s="37" t="s">
        <v>425</v>
      </c>
      <c r="G340" s="37" t="s">
        <v>127</v>
      </c>
      <c r="H340" s="47"/>
      <c r="I340" s="37"/>
      <c r="J340" s="39">
        <v>45276</v>
      </c>
      <c r="K340" s="37"/>
      <c r="L340" s="37" t="s">
        <v>427</v>
      </c>
      <c r="M340" s="40"/>
      <c r="N340" s="38">
        <v>106</v>
      </c>
      <c r="O340" s="37" t="s">
        <v>284</v>
      </c>
      <c r="P340" s="41"/>
      <c r="Q340" s="42"/>
      <c r="R340" s="48"/>
      <c r="S340" s="49"/>
      <c r="T340" s="44"/>
      <c r="U340" s="44"/>
      <c r="V340" s="50"/>
      <c r="W340" s="45" t="s">
        <v>432</v>
      </c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0" s="50" t="str">
        <f>IF(OR(NOTA[[#This Row],[QTY]]="",NOTA[[#This Row],[HARGA SATUAN]]="",),"",NOTA[[#This Row],[QTY]]*NOTA[[#This Row],[HARGA SATUAN]])</f>
        <v/>
      </c>
      <c r="AI340" s="39">
        <f ca="1">IF(NOTA[ID_H]="","",INDEX(NOTA[TANGGAL],MATCH(,INDIRECT(ADDRESS(ROW(NOTA[TANGGAL]),COLUMN(NOTA[TANGGAL]))&amp;":"&amp;ADDRESS(ROW(),COLUMN(NOTA[TANGGAL]))),-1)))</f>
        <v>45279</v>
      </c>
      <c r="AJ340" s="41" t="str">
        <f ca="1">IF(NOTA[[#This Row],[NAMA BARANG]]="","",INDEX(NOTA[SUPPLIER],MATCH(,INDIRECT(ADDRESS(ROW(NOTA[ID]),COLUMN(NOTA[ID]))&amp;":"&amp;ADDRESS(ROW(),COLUMN(NOTA[ID]))),-1)))</f>
        <v>GLOBAL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8</v>
      </c>
      <c r="AM340" s="38">
        <f>IF(NOTA[[#This Row],[TGL.NOTA]]="",IF(NOTA[[#This Row],[SUPPLIER_H]]="","",AM339),MONTH(NOTA[[#This Row],[TGL.NOTA]]))</f>
        <v>12</v>
      </c>
      <c r="AN340" s="38" t="str">
        <f>LOWER(SUBSTITUTE(SUBSTITUTE(SUBSTITUTE(SUBSTITUTE(SUBSTITUTE(SUBSTITUTE(SUBSTITUTE(SUBSTITUTE(SUBSTITUTE(NOTA[NAMA BARANG]," ",),".",""),"-",""),"(",""),")",""),",",""),"/",""),"""",""),"+",""))</f>
        <v>balonbungabl1006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balonbungabl10060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balonbungabl10060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GLOBALUNTANA45276balonbungabl1006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173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1 CTN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balonbungabl10061ctnuntana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71</v>
      </c>
      <c r="E341" s="46"/>
      <c r="F341" s="37"/>
      <c r="G341" s="37"/>
      <c r="H341" s="47"/>
      <c r="I341" s="37"/>
      <c r="J341" s="39"/>
      <c r="K341" s="37"/>
      <c r="L341" s="37" t="s">
        <v>426</v>
      </c>
      <c r="M341" s="40"/>
      <c r="N341" s="38">
        <v>15</v>
      </c>
      <c r="O341" s="37" t="s">
        <v>284</v>
      </c>
      <c r="P341" s="41"/>
      <c r="Q341" s="42"/>
      <c r="R341" s="48"/>
      <c r="S341" s="49"/>
      <c r="T341" s="44"/>
      <c r="U341" s="44"/>
      <c r="V341" s="50"/>
      <c r="W341" s="45" t="s">
        <v>432</v>
      </c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1" s="50" t="str">
        <f>IF(OR(NOTA[[#This Row],[QTY]]="",NOTA[[#This Row],[HARGA SATUAN]]="",),"",NOTA[[#This Row],[QTY]]*NOTA[[#This Row],[HARGA SATUAN]])</f>
        <v/>
      </c>
      <c r="AI341" s="39">
        <f ca="1">IF(NOTA[ID_H]="","",INDEX(NOTA[TANGGAL],MATCH(,INDIRECT(ADDRESS(ROW(NOTA[TANGGAL]),COLUMN(NOTA[TANGGAL]))&amp;":"&amp;ADDRESS(ROW(),COLUMN(NOTA[TANGGAL]))),-1)))</f>
        <v>45279</v>
      </c>
      <c r="AJ341" s="41" t="str">
        <f ca="1">IF(NOTA[[#This Row],[NAMA BARANG]]="","",INDEX(NOTA[SUPPLIER],MATCH(,INDIRECT(ADDRESS(ROW(NOTA[ID]),COLUMN(NOTA[ID]))&amp;":"&amp;ADDRESS(ROW(),COLUMN(NOTA[ID]))),-1)))</f>
        <v>GLOBAL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balonlovebl1022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balonlovebl10220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balonlovebl10220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195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 CTN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balonlovebl10221ctnuntana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71</v>
      </c>
      <c r="E342" s="46"/>
      <c r="F342" s="37"/>
      <c r="G342" s="37"/>
      <c r="H342" s="47"/>
      <c r="I342" s="37"/>
      <c r="J342" s="39"/>
      <c r="K342" s="37"/>
      <c r="L342" s="37" t="s">
        <v>428</v>
      </c>
      <c r="M342" s="40"/>
      <c r="N342" s="38">
        <v>19</v>
      </c>
      <c r="O342" s="37" t="s">
        <v>284</v>
      </c>
      <c r="P342" s="41"/>
      <c r="Q342" s="42"/>
      <c r="R342" s="48"/>
      <c r="S342" s="49"/>
      <c r="T342" s="44"/>
      <c r="U342" s="44"/>
      <c r="V342" s="50"/>
      <c r="W342" s="45" t="s">
        <v>432</v>
      </c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45279</v>
      </c>
      <c r="AJ342" s="41" t="str">
        <f ca="1">IF(NOTA[[#This Row],[NAMA BARANG]]="","",INDEX(NOTA[SUPPLIER],MATCH(,INDIRECT(ADDRESS(ROW(NOTA[ID]),COLUMN(NOTA[ID]))&amp;":"&amp;ADDRESS(ROW(),COLUMN(NOTA[ID]))),-1)))</f>
        <v>GLOBAL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balonbl100128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balonbl1001280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balonbl1001280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167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1 CTN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balonbl1001281ctnuntana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71</v>
      </c>
      <c r="E343" s="46"/>
      <c r="F343" s="37"/>
      <c r="G343" s="37"/>
      <c r="H343" s="47"/>
      <c r="I343" s="37"/>
      <c r="J343" s="39"/>
      <c r="K343" s="37"/>
      <c r="L343" s="37" t="s">
        <v>429</v>
      </c>
      <c r="M343" s="40"/>
      <c r="N343" s="38">
        <v>3</v>
      </c>
      <c r="O343" s="37" t="s">
        <v>284</v>
      </c>
      <c r="P343" s="41"/>
      <c r="Q343" s="42"/>
      <c r="R343" s="48"/>
      <c r="S343" s="49"/>
      <c r="T343" s="44"/>
      <c r="U343" s="44"/>
      <c r="V343" s="50"/>
      <c r="W343" s="45" t="s">
        <v>432</v>
      </c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3" s="50" t="str">
        <f>IF(OR(NOTA[[#This Row],[QTY]]="",NOTA[[#This Row],[HARGA SATUAN]]="",),"",NOTA[[#This Row],[QTY]]*NOTA[[#This Row],[HARGA SATUAN]])</f>
        <v/>
      </c>
      <c r="AI343" s="39">
        <f ca="1">IF(NOTA[ID_H]="","",INDEX(NOTA[TANGGAL],MATCH(,INDIRECT(ADDRESS(ROW(NOTA[TANGGAL]),COLUMN(NOTA[TANGGAL]))&amp;":"&amp;ADDRESS(ROW(),COLUMN(NOTA[TANGGAL]))),-1)))</f>
        <v>45279</v>
      </c>
      <c r="AJ343" s="41" t="str">
        <f ca="1">IF(NOTA[[#This Row],[NAMA BARANG]]="","",INDEX(NOTA[SUPPLIER],MATCH(,INDIRECT(ADDRESS(ROW(NOTA[ID]),COLUMN(NOTA[ID]))&amp;":"&amp;ADDRESS(ROW(),COLUMN(NOTA[ID]))),-1)))</f>
        <v>GLOBAL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balonhatibl10023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balonhatibl100230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balonhatibl100230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189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 CTN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balonhatibl100231ctnuntana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71</v>
      </c>
      <c r="E344" s="46"/>
      <c r="F344" s="37"/>
      <c r="G344" s="37"/>
      <c r="H344" s="47"/>
      <c r="I344" s="37"/>
      <c r="J344" s="39"/>
      <c r="K344" s="37"/>
      <c r="L344" s="37" t="s">
        <v>497</v>
      </c>
      <c r="M344" s="40"/>
      <c r="N344" s="38">
        <v>5</v>
      </c>
      <c r="O344" s="37" t="s">
        <v>284</v>
      </c>
      <c r="P344" s="41"/>
      <c r="Q344" s="42"/>
      <c r="R344" s="48"/>
      <c r="S344" s="49"/>
      <c r="T344" s="44"/>
      <c r="U344" s="44"/>
      <c r="V344" s="50"/>
      <c r="W344" s="45" t="s">
        <v>432</v>
      </c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4" s="50" t="str">
        <f>IF(OR(NOTA[[#This Row],[QTY]]="",NOTA[[#This Row],[HARGA SATUAN]]="",),"",NOTA[[#This Row],[QTY]]*NOTA[[#This Row],[HARGA SATUAN]])</f>
        <v/>
      </c>
      <c r="AI344" s="39">
        <f ca="1">IF(NOTA[ID_H]="","",INDEX(NOTA[TANGGAL],MATCH(,INDIRECT(ADDRESS(ROW(NOTA[TANGGAL]),COLUMN(NOTA[TANGGAL]))&amp;":"&amp;ADDRESS(ROW(),COLUMN(NOTA[TANGGAL]))),-1)))</f>
        <v>45279</v>
      </c>
      <c r="AJ344" s="41" t="str">
        <f ca="1">IF(NOTA[[#This Row],[NAMA BARANG]]="","",INDEX(NOTA[SUPPLIER],MATCH(,INDIRECT(ADDRESS(ROW(NOTA[ID]),COLUMN(NOTA[ID]))&amp;":"&amp;ADDRESS(ROW(),COLUMN(NOTA[ID]))),-1)))</f>
        <v>GLOBAL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balonbl1009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171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18 RTG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balonbl100918rtguntana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71</v>
      </c>
      <c r="E345" s="46"/>
      <c r="F345" s="37"/>
      <c r="G345" s="37"/>
      <c r="H345" s="47"/>
      <c r="I345" s="37"/>
      <c r="J345" s="39"/>
      <c r="K345" s="37"/>
      <c r="L345" s="37" t="s">
        <v>498</v>
      </c>
      <c r="M345" s="40"/>
      <c r="N345" s="38">
        <v>1</v>
      </c>
      <c r="O345" s="37" t="s">
        <v>284</v>
      </c>
      <c r="P345" s="41"/>
      <c r="Q345" s="42"/>
      <c r="R345" s="48"/>
      <c r="S345" s="49"/>
      <c r="T345" s="44"/>
      <c r="U345" s="44"/>
      <c r="V345" s="50"/>
      <c r="W345" s="45" t="s">
        <v>432</v>
      </c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5" s="50" t="str">
        <f>IF(OR(NOTA[[#This Row],[QTY]]="",NOTA[[#This Row],[HARGA SATUAN]]="",),"",NOTA[[#This Row],[QTY]]*NOTA[[#This Row],[HARGA SATUAN]])</f>
        <v/>
      </c>
      <c r="AI345" s="39">
        <f ca="1">IF(NOTA[ID_H]="","",INDEX(NOTA[TANGGAL],MATCH(,INDIRECT(ADDRESS(ROW(NOTA[TANGGAL]),COLUMN(NOTA[TANGGAL]))&amp;":"&amp;ADDRESS(ROW(),COLUMN(NOTA[TANGGAL]))),-1)))</f>
        <v>45279</v>
      </c>
      <c r="AJ345" s="41" t="str">
        <f ca="1">IF(NOTA[[#This Row],[NAMA BARANG]]="","",INDEX(NOTA[SUPPLIER],MATCH(,INDIRECT(ADDRESS(ROW(NOTA[ID]),COLUMN(NOTA[ID]))&amp;":"&amp;ADDRESS(ROW(),COLUMN(NOTA[ID]))),-1)))</f>
        <v>GLOBAL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balonbl10092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balonbl100920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balonbl100920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172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89 RTG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balonbl1009289rtguntana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71</v>
      </c>
      <c r="E346" s="46"/>
      <c r="F346" s="37"/>
      <c r="G346" s="37"/>
      <c r="H346" s="47"/>
      <c r="I346" s="37"/>
      <c r="J346" s="39"/>
      <c r="K346" s="37"/>
      <c r="L346" s="37" t="s">
        <v>430</v>
      </c>
      <c r="M346" s="40"/>
      <c r="N346" s="38">
        <v>129</v>
      </c>
      <c r="O346" s="37" t="s">
        <v>152</v>
      </c>
      <c r="P346" s="41"/>
      <c r="Q346" s="42"/>
      <c r="R346" s="48"/>
      <c r="S346" s="49"/>
      <c r="T346" s="44"/>
      <c r="U346" s="44"/>
      <c r="V346" s="50"/>
      <c r="W346" s="45" t="s">
        <v>432</v>
      </c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6" s="50" t="str">
        <f>IF(OR(NOTA[[#This Row],[QTY]]="",NOTA[[#This Row],[HARGA SATUAN]]="",),"",NOTA[[#This Row],[QTY]]*NOTA[[#This Row],[HARGA SATUAN]])</f>
        <v/>
      </c>
      <c r="AI346" s="39">
        <f ca="1">IF(NOTA[ID_H]="","",INDEX(NOTA[TANGGAL],MATCH(,INDIRECT(ADDRESS(ROW(NOTA[TANGGAL]),COLUMN(NOTA[TANGGAL]))&amp;":"&amp;ADDRESS(ROW(),COLUMN(NOTA[TANGGAL]))),-1)))</f>
        <v>45279</v>
      </c>
      <c r="AJ346" s="41" t="str">
        <f ca="1">IF(NOTA[[#This Row],[NAMA BARANG]]="","",INDEX(NOTA[SUPPLIER],MATCH(,INDIRECT(ADDRESS(ROW(NOTA[ID]),COLUMN(NOTA[ID]))&amp;":"&amp;ADDRESS(ROW(),COLUMN(NOTA[ID]))),-1)))</f>
        <v>GLOBAL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balonbl1022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balonbl10220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balonbl10220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168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 CTN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balonbl10221ctnuntana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71</v>
      </c>
      <c r="E347" s="46"/>
      <c r="F347" s="37"/>
      <c r="G347" s="37"/>
      <c r="H347" s="47"/>
      <c r="I347" s="37"/>
      <c r="J347" s="39"/>
      <c r="K347" s="37"/>
      <c r="L347" s="37" t="s">
        <v>431</v>
      </c>
      <c r="M347" s="40"/>
      <c r="N347" s="38">
        <v>35</v>
      </c>
      <c r="O347" s="37" t="s">
        <v>152</v>
      </c>
      <c r="P347" s="41"/>
      <c r="Q347" s="42"/>
      <c r="R347" s="48"/>
      <c r="S347" s="49"/>
      <c r="T347" s="44"/>
      <c r="U347" s="44"/>
      <c r="V347" s="50"/>
      <c r="W347" s="45" t="s">
        <v>432</v>
      </c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7" s="50" t="str">
        <f>IF(OR(NOTA[[#This Row],[QTY]]="",NOTA[[#This Row],[HARGA SATUAN]]="",),"",NOTA[[#This Row],[QTY]]*NOTA[[#This Row],[HARGA SATUAN]])</f>
        <v/>
      </c>
      <c r="AI347" s="39">
        <f ca="1">IF(NOTA[ID_H]="","",INDEX(NOTA[TANGGAL],MATCH(,INDIRECT(ADDRESS(ROW(NOTA[TANGGAL]),COLUMN(NOTA[TANGGAL]))&amp;":"&amp;ADDRESS(ROW(),COLUMN(NOTA[TANGGAL]))),-1)))</f>
        <v>45279</v>
      </c>
      <c r="AJ347" s="41" t="str">
        <f ca="1">IF(NOTA[[#This Row],[NAMA BARANG]]="","",INDEX(NOTA[SUPPLIER],MATCH(,INDIRECT(ADDRESS(ROW(NOTA[ID]),COLUMN(NOTA[ID]))&amp;":"&amp;ADDRESS(ROW(),COLUMN(NOTA[ID]))),-1)))</f>
        <v>GLOBAL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169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100 PAK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HAN_2012_159-1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72</v>
      </c>
      <c r="E349" s="46">
        <v>45280</v>
      </c>
      <c r="F349" s="37" t="s">
        <v>350</v>
      </c>
      <c r="G349" s="37" t="s">
        <v>127</v>
      </c>
      <c r="H349" s="47" t="s">
        <v>433</v>
      </c>
      <c r="I349" s="37"/>
      <c r="J349" s="39">
        <v>45280</v>
      </c>
      <c r="K349" s="37"/>
      <c r="L349" s="37" t="s">
        <v>434</v>
      </c>
      <c r="M349" s="40"/>
      <c r="N349" s="38">
        <v>4</v>
      </c>
      <c r="O349" s="37" t="s">
        <v>130</v>
      </c>
      <c r="P349" s="41">
        <v>39000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156000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156000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349" s="50">
        <f>IF(OR(NOTA[[#This Row],[QTY]]="",NOTA[[#This Row],[HARGA SATUAN]]="",),"",NOTA[[#This Row],[QTY]]*NOTA[[#This Row],[HARGA SATUAN]])</f>
        <v>156000</v>
      </c>
      <c r="AI349" s="39">
        <f ca="1">IF(NOTA[ID_H]="","",INDEX(NOTA[TANGGAL],MATCH(,INDIRECT(ADDRESS(ROW(NOTA[TANGGAL]),COLUMN(NOTA[TANGGAL]))&amp;":"&amp;ADDRESS(ROW(),COLUMN(NOTA[TANGGAL]))),-1)))</f>
        <v>45280</v>
      </c>
      <c r="AJ349" s="41" t="str">
        <f ca="1">IF(NOTA[[#This Row],[NAMA BARANG]]="","",INDEX(NOTA[SUPPLIER],MATCH(,INDIRECT(ADDRESS(ROW(NOTA[ID]),COLUMN(NOTA[ID]))&amp;":"&amp;ADDRESS(ROW(),COLUMN(NOTA[ID]))),-1)))</f>
        <v>HANSA</v>
      </c>
      <c r="AK349" s="41" t="str">
        <f ca="1">IF(NOTA[[#This Row],[ID_H]]="","",IF(NOTA[[#This Row],[FAKTUR]]="",INDIRECT(ADDRESS(ROW()-1,COLUMN())),NOTA[[#This Row],[FAKTUR]]))</f>
        <v>UNTANA</v>
      </c>
      <c r="AL349" s="38">
        <f ca="1">IF(NOTA[[#This Row],[ID]]="","",COUNTIF(NOTA[ID_H],NOTA[[#This Row],[ID_H]]))</f>
        <v>1</v>
      </c>
      <c r="AM349" s="38">
        <f>IF(NOTA[[#This Row],[TGL.NOTA]]="",IF(NOTA[[#This Row],[SUPPLIER_H]]="","",AM348),MONTH(NOTA[[#This Row],[TGL.NOTA]]))</f>
        <v>12</v>
      </c>
      <c r="AN349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lilinshintoeng12btg156000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HANSAUNTANAHN12202315945280lilinshintoeng12btg</v>
      </c>
      <c r="AR349" s="38" t="e">
        <f>IF(NOTA[[#This Row],[CONCAT4]]="","",_xlfn.IFNA(MATCH(NOTA[[#This Row],[CONCAT4]],[2]!RAW[CONCAT_H],0),FALSE))</f>
        <v>#REF!</v>
      </c>
      <c r="AS349" s="38">
        <f>IF(NOTA[[#This Row],[CONCAT1]]="","",MATCH(NOTA[[#This Row],[CONCAT1]],[3]!db[NB NOTA_C],0))</f>
        <v>1923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50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KEN_1512_703-10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73</v>
      </c>
      <c r="E351" s="46">
        <v>45275</v>
      </c>
      <c r="F351" s="37" t="s">
        <v>22</v>
      </c>
      <c r="G351" s="37" t="s">
        <v>23</v>
      </c>
      <c r="H351" s="47" t="s">
        <v>435</v>
      </c>
      <c r="I351" s="37"/>
      <c r="J351" s="39">
        <v>45272</v>
      </c>
      <c r="K351" s="37"/>
      <c r="L351" s="37" t="s">
        <v>204</v>
      </c>
      <c r="M351" s="40">
        <v>1</v>
      </c>
      <c r="O351" s="37"/>
      <c r="P351" s="41"/>
      <c r="Q351" s="42">
        <v>2376000</v>
      </c>
      <c r="R351" s="48"/>
      <c r="S351" s="49">
        <v>0.17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2376000</v>
      </c>
      <c r="Y351" s="50">
        <f>IF(NOTA[[#This Row],[JUMLAH]]="","",NOTA[[#This Row],[JUMLAH]]*NOTA[[#This Row],[DISC 1]])</f>
        <v>403920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403920</v>
      </c>
      <c r="AC351" s="50">
        <f>IF(NOTA[[#This Row],[JUMLAH]]="","",NOTA[[#This Row],[JUMLAH]]-NOTA[[#This Row],[DISC]])</f>
        <v>1972080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45275</v>
      </c>
      <c r="AJ351" s="41" t="str">
        <f ca="1">IF(NOTA[[#This Row],[NAMA BARANG]]="","",INDEX(NOTA[SUPPLIER],MATCH(,INDIRECT(ADDRESS(ROW(NOTA[ID]),COLUMN(NOTA[ID]))&amp;":"&amp;ADDRESS(ROW(),COLUMN(NOTA[ID]))),-1)))</f>
        <v>KENKO SINAR INDONESIA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10</v>
      </c>
      <c r="AM351" s="38">
        <f>IF(NOTA[[#This Row],[TGL.NOTA]]="",IF(NOTA[[#This Row],[SUPPLIER_H]]="","",AM350),MONTH(NOTA[[#This Row],[TGL.NOTA]]))</f>
        <v>12</v>
      </c>
      <c r="AN35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MORO2312070345272kenkogluestick8grsmall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1673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36 BOX (30 PCS)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73</v>
      </c>
      <c r="E352" s="46"/>
      <c r="F352" s="37"/>
      <c r="G352" s="37"/>
      <c r="H352" s="47"/>
      <c r="I352" s="37"/>
      <c r="J352" s="39"/>
      <c r="K352" s="37"/>
      <c r="L352" s="37" t="s">
        <v>110</v>
      </c>
      <c r="M352" s="40">
        <v>5</v>
      </c>
      <c r="O352" s="37"/>
      <c r="P352" s="41"/>
      <c r="Q352" s="42">
        <v>1380000</v>
      </c>
      <c r="R352" s="48"/>
      <c r="S352" s="49">
        <v>0.17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6900000</v>
      </c>
      <c r="Y352" s="50">
        <f>IF(NOTA[[#This Row],[JUMLAH]]="","",NOTA[[#This Row],[JUMLAH]]*NOTA[[#This Row],[DISC 1]])</f>
        <v>1173000</v>
      </c>
      <c r="Z352" s="50">
        <f>IF(NOTA[[#This Row],[JUMLAH]]="","",(NOTA[[#This Row],[JUMLAH]]-NOTA[[#This Row],[DISC 1-]])*NOTA[[#This Row],[DISC 2]])</f>
        <v>286350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1459350</v>
      </c>
      <c r="AC352" s="50">
        <f>IF(NOTA[[#This Row],[JUMLAH]]="","",NOTA[[#This Row],[JUMLAH]]-NOTA[[#This Row],[DISC]])</f>
        <v>5440650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45275</v>
      </c>
      <c r="AJ352" s="41" t="str">
        <f ca="1">IF(NOTA[[#This Row],[NAMA BARANG]]="","",INDEX(NOTA[SUPPLIER],MATCH(,INDIRECT(ADDRESS(ROW(NOTA[ID]),COLUMN(NOTA[ID]))&amp;":"&amp;ADDRESS(ROW(),COLUMN(NOTA[ID]))),-1)))</f>
        <v>KENKO SINAR INDONESIA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12</v>
      </c>
      <c r="AN35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1511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20 GRS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73</v>
      </c>
      <c r="E353" s="46"/>
      <c r="F353" s="37"/>
      <c r="G353" s="37"/>
      <c r="H353" s="47"/>
      <c r="I353" s="37"/>
      <c r="J353" s="39"/>
      <c r="K353" s="37"/>
      <c r="L353" s="37" t="s">
        <v>436</v>
      </c>
      <c r="M353" s="40">
        <v>5</v>
      </c>
      <c r="O353" s="37"/>
      <c r="P353" s="41"/>
      <c r="Q353" s="42">
        <v>2980800</v>
      </c>
      <c r="R353" s="48"/>
      <c r="S353" s="49">
        <v>0.17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14904000</v>
      </c>
      <c r="Y353" s="50">
        <f>IF(NOTA[[#This Row],[JUMLAH]]="","",NOTA[[#This Row],[JUMLAH]]*NOTA[[#This Row],[DISC 1]])</f>
        <v>2533680</v>
      </c>
      <c r="Z353" s="50">
        <f>IF(NOTA[[#This Row],[JUMLAH]]="","",(NOTA[[#This Row],[JUMLAH]]-NOTA[[#This Row],[DISC 1-]])*NOTA[[#This Row],[DISC 2]])</f>
        <v>618516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3152196</v>
      </c>
      <c r="AC353" s="50">
        <f>IF(NOTA[[#This Row],[JUMLAH]]="","",NOTA[[#This Row],[JUMLAH]]-NOTA[[#This Row],[DISC]])</f>
        <v>11751804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45275</v>
      </c>
      <c r="AJ353" s="41" t="str">
        <f ca="1">IF(NOTA[[#This Row],[NAMA BARANG]]="","",INDEX(NOTA[SUPPLIER],MATCH(,INDIRECT(ADDRESS(ROW(NOTA[ID]),COLUMN(NOTA[ID]))&amp;":"&amp;ADDRESS(ROW(),COLUMN(NOTA[ID]))),-1)))</f>
        <v>KENKO SINAR INDONESIA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12</v>
      </c>
      <c r="AN35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1490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24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73</v>
      </c>
      <c r="E354" s="46"/>
      <c r="F354" s="37"/>
      <c r="G354" s="37"/>
      <c r="H354" s="47"/>
      <c r="I354" s="37"/>
      <c r="J354" s="39"/>
      <c r="K354" s="37"/>
      <c r="L354" s="37" t="s">
        <v>443</v>
      </c>
      <c r="M354" s="40">
        <v>5</v>
      </c>
      <c r="O354" s="37"/>
      <c r="P354" s="41"/>
      <c r="Q354" s="42">
        <v>3888000</v>
      </c>
      <c r="R354" s="48"/>
      <c r="S354" s="49">
        <v>0.17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19440000</v>
      </c>
      <c r="Y354" s="50">
        <f>IF(NOTA[[#This Row],[JUMLAH]]="","",NOTA[[#This Row],[JUMLAH]]*NOTA[[#This Row],[DISC 1]])</f>
        <v>3304800.0000000005</v>
      </c>
      <c r="Z354" s="50">
        <f>IF(NOTA[[#This Row],[JUMLAH]]="","",(NOTA[[#This Row],[JUMLAH]]-NOTA[[#This Row],[DISC 1-]])*NOTA[[#This Row],[DISC 2]])</f>
        <v>806760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4111560.0000000005</v>
      </c>
      <c r="AC354" s="50">
        <f>IF(NOTA[[#This Row],[JUMLAH]]="","",NOTA[[#This Row],[JUMLAH]]-NOTA[[#This Row],[DISC]])</f>
        <v>15328440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45275</v>
      </c>
      <c r="AJ354" s="41" t="str">
        <f ca="1">IF(NOTA[[#This Row],[NAMA BARANG]]="","",INDEX(NOTA[SUPPLIER],MATCH(,INDIRECT(ADDRESS(ROW(NOTA[ID]),COLUMN(NOTA[ID]))&amp;":"&amp;ADDRESS(ROW(),COLUMN(NOTA[ID]))),-1)))</f>
        <v>KENKO SINAR INDONESIA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12</v>
      </c>
      <c r="AN354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1607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120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73</v>
      </c>
      <c r="E355" s="46"/>
      <c r="F355" s="37"/>
      <c r="G355" s="37"/>
      <c r="H355" s="47"/>
      <c r="I355" s="37"/>
      <c r="J355" s="39"/>
      <c r="K355" s="37"/>
      <c r="L355" s="37" t="s">
        <v>437</v>
      </c>
      <c r="M355" s="40">
        <v>15</v>
      </c>
      <c r="O355" s="37"/>
      <c r="P355" s="41"/>
      <c r="Q355" s="42">
        <v>3888000</v>
      </c>
      <c r="R355" s="48"/>
      <c r="S355" s="49">
        <v>0.17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58320000</v>
      </c>
      <c r="Y355" s="50">
        <f>IF(NOTA[[#This Row],[JUMLAH]]="","",NOTA[[#This Row],[JUMLAH]]*NOTA[[#This Row],[DISC 1]])</f>
        <v>9914400</v>
      </c>
      <c r="Z355" s="50">
        <f>IF(NOTA[[#This Row],[JUMLAH]]="","",(NOTA[[#This Row],[JUMLAH]]-NOTA[[#This Row],[DISC 1-]])*NOTA[[#This Row],[DISC 2]])</f>
        <v>2420280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12334680</v>
      </c>
      <c r="AC355" s="50">
        <f>IF(NOTA[[#This Row],[JUMLAH]]="","",NOTA[[#This Row],[JUMLAH]]-NOTA[[#This Row],[DISC]])</f>
        <v>45985320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45275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12</v>
      </c>
      <c r="AN35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1608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60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73</v>
      </c>
      <c r="E356" s="46"/>
      <c r="F356" s="37"/>
      <c r="G356" s="37"/>
      <c r="H356" s="47"/>
      <c r="I356" s="37"/>
      <c r="J356" s="39"/>
      <c r="K356" s="37"/>
      <c r="L356" s="37" t="s">
        <v>442</v>
      </c>
      <c r="M356" s="40">
        <v>5</v>
      </c>
      <c r="O356" s="37"/>
      <c r="P356" s="41"/>
      <c r="Q356" s="42">
        <v>2592000</v>
      </c>
      <c r="R356" s="48"/>
      <c r="S356" s="49">
        <v>0.17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12960000</v>
      </c>
      <c r="Y356" s="50">
        <f>IF(NOTA[[#This Row],[JUMLAH]]="","",NOTA[[#This Row],[JUMLAH]]*NOTA[[#This Row],[DISC 1]])</f>
        <v>2203200</v>
      </c>
      <c r="Z356" s="50">
        <f>IF(NOTA[[#This Row],[JUMLAH]]="","",(NOTA[[#This Row],[JUMLAH]]-NOTA[[#This Row],[DISC 1-]])*NOTA[[#This Row],[DISC 2]])</f>
        <v>537840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2741040</v>
      </c>
      <c r="AC356" s="50">
        <f>IF(NOTA[[#This Row],[JUMLAH]]="","",NOTA[[#This Row],[JUMLAH]]-NOTA[[#This Row],[DISC]])</f>
        <v>10218960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45275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12</v>
      </c>
      <c r="AN35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1597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48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73</v>
      </c>
      <c r="E357" s="46"/>
      <c r="F357" s="37"/>
      <c r="G357" s="37"/>
      <c r="H357" s="47"/>
      <c r="I357" s="37"/>
      <c r="J357" s="39"/>
      <c r="K357" s="37"/>
      <c r="L357" s="37" t="s">
        <v>438</v>
      </c>
      <c r="M357" s="40">
        <v>5</v>
      </c>
      <c r="O357" s="37"/>
      <c r="P357" s="41"/>
      <c r="Q357" s="42">
        <v>5702400</v>
      </c>
      <c r="R357" s="48"/>
      <c r="S357" s="49">
        <v>0.17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28512000</v>
      </c>
      <c r="Y357" s="50">
        <f>IF(NOTA[[#This Row],[JUMLAH]]="","",NOTA[[#This Row],[JUMLAH]]*NOTA[[#This Row],[DISC 1]])</f>
        <v>4847040</v>
      </c>
      <c r="Z357" s="50">
        <f>IF(NOTA[[#This Row],[JUMLAH]]="","",(NOTA[[#This Row],[JUMLAH]]-NOTA[[#This Row],[DISC 1-]])*NOTA[[#This Row],[DISC 2]])</f>
        <v>1183248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6030288</v>
      </c>
      <c r="AC357" s="50">
        <f>IF(NOTA[[#This Row],[JUMLAH]]="","",NOTA[[#This Row],[JUMLAH]]-NOTA[[#This Row],[DISC]])</f>
        <v>22481712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45275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12</v>
      </c>
      <c r="AN35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1645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144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73</v>
      </c>
      <c r="E358" s="46"/>
      <c r="F358" s="37"/>
      <c r="G358" s="37"/>
      <c r="H358" s="47"/>
      <c r="I358" s="37"/>
      <c r="J358" s="39"/>
      <c r="K358" s="37"/>
      <c r="L358" s="37" t="s">
        <v>439</v>
      </c>
      <c r="M358" s="40">
        <v>1</v>
      </c>
      <c r="O358" s="37"/>
      <c r="P358" s="41"/>
      <c r="Q358" s="42">
        <v>5702400</v>
      </c>
      <c r="R358" s="48"/>
      <c r="S358" s="49">
        <v>0.17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5702400</v>
      </c>
      <c r="Y358" s="50">
        <f>IF(NOTA[[#This Row],[JUMLAH]]="","",NOTA[[#This Row],[JUMLAH]]*NOTA[[#This Row],[DISC 1]])</f>
        <v>969408.00000000012</v>
      </c>
      <c r="Z358" s="50">
        <f>IF(NOTA[[#This Row],[JUMLAH]]="","",(NOTA[[#This Row],[JUMLAH]]-NOTA[[#This Row],[DISC 1-]])*NOTA[[#This Row],[DISC 2]])</f>
        <v>236649.60000000001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1206057.6000000001</v>
      </c>
      <c r="AC358" s="50">
        <f>IF(NOTA[[#This Row],[JUMLAH]]="","",NOTA[[#This Row],[JUMLAH]]-NOTA[[#This Row],[DISC]])</f>
        <v>4496342.4000000004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45275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12</v>
      </c>
      <c r="AN358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1646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144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73</v>
      </c>
      <c r="E359" s="46"/>
      <c r="F359" s="37"/>
      <c r="G359" s="37"/>
      <c r="H359" s="47"/>
      <c r="I359" s="37"/>
      <c r="J359" s="39"/>
      <c r="K359" s="37"/>
      <c r="L359" s="37" t="s">
        <v>440</v>
      </c>
      <c r="M359" s="40">
        <v>10</v>
      </c>
      <c r="O359" s="37"/>
      <c r="P359" s="41"/>
      <c r="Q359" s="42">
        <v>1995000</v>
      </c>
      <c r="R359" s="48"/>
      <c r="S359" s="49">
        <v>0.17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19950000</v>
      </c>
      <c r="Y359" s="50">
        <f>IF(NOTA[[#This Row],[JUMLAH]]="","",NOTA[[#This Row],[JUMLAH]]*NOTA[[#This Row],[DISC 1]])</f>
        <v>3391500.0000000005</v>
      </c>
      <c r="Z359" s="50">
        <f>IF(NOTA[[#This Row],[JUMLAH]]="","",(NOTA[[#This Row],[JUMLAH]]-NOTA[[#This Row],[DISC 1-]])*NOTA[[#This Row],[DISC 2]])</f>
        <v>827925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4219425</v>
      </c>
      <c r="AC359" s="50">
        <f>IF(NOTA[[#This Row],[JUMLAH]]="","",NOTA[[#This Row],[JUMLAH]]-NOTA[[#This Row],[DISC]])</f>
        <v>15730575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45275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12</v>
      </c>
      <c r="AN35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1767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73</v>
      </c>
      <c r="E360" s="46"/>
      <c r="F360" s="37"/>
      <c r="G360" s="37"/>
      <c r="H360" s="47"/>
      <c r="I360" s="37"/>
      <c r="J360" s="39"/>
      <c r="K360" s="37"/>
      <c r="L360" s="37" t="s">
        <v>441</v>
      </c>
      <c r="M360" s="40">
        <v>5</v>
      </c>
      <c r="O360" s="37"/>
      <c r="P360" s="41"/>
      <c r="Q360" s="42">
        <v>2088000</v>
      </c>
      <c r="R360" s="48"/>
      <c r="S360" s="49">
        <v>0.17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10440000</v>
      </c>
      <c r="Y360" s="50">
        <f>IF(NOTA[[#This Row],[JUMLAH]]="","",NOTA[[#This Row],[JUMLAH]]*NOTA[[#This Row],[DISC 1]])</f>
        <v>1774800.0000000002</v>
      </c>
      <c r="Z360" s="50">
        <f>IF(NOTA[[#This Row],[JUMLAH]]="","",(NOTA[[#This Row],[JUMLAH]]-NOTA[[#This Row],[DISC 1-]])*NOTA[[#This Row],[DISC 2]])</f>
        <v>433260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2208060</v>
      </c>
      <c r="AC360" s="50">
        <f>IF(NOTA[[#This Row],[JUMLAH]]="","",NOTA[[#This Row],[JUMLAH]]-NOTA[[#This Row],[DISC]])</f>
        <v>8231940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37866576.600000001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141637823.40000001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45275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12</v>
      </c>
      <c r="AN36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2984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KEN_1512_716-3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>
        <v>45275</v>
      </c>
      <c r="F362" s="37" t="s">
        <v>22</v>
      </c>
      <c r="G362" s="37" t="s">
        <v>23</v>
      </c>
      <c r="H362" s="47" t="s">
        <v>444</v>
      </c>
      <c r="I362" s="37"/>
      <c r="J362" s="39">
        <v>45272</v>
      </c>
      <c r="K362" s="37"/>
      <c r="L362" s="37" t="s">
        <v>581</v>
      </c>
      <c r="M362" s="40">
        <v>20</v>
      </c>
      <c r="O362" s="37"/>
      <c r="P362" s="41"/>
      <c r="Q362" s="42">
        <v>1860000</v>
      </c>
      <c r="R362" s="48"/>
      <c r="S362" s="49">
        <v>0.17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37200000</v>
      </c>
      <c r="Y362" s="50">
        <f>IF(NOTA[[#This Row],[JUMLAH]]="","",NOTA[[#This Row],[JUMLAH]]*NOTA[[#This Row],[DISC 1]])</f>
        <v>6324000</v>
      </c>
      <c r="Z362" s="50">
        <f>IF(NOTA[[#This Row],[JUMLAH]]="","",(NOTA[[#This Row],[JUMLAH]]-NOTA[[#This Row],[DISC 1-]])*NOTA[[#This Row],[DISC 2]])</f>
        <v>1543800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7867800</v>
      </c>
      <c r="AC362" s="50">
        <f>IF(NOTA[[#This Row],[JUMLAH]]="","",NOTA[[#This Row],[JUMLAH]]-NOTA[[#This Row],[DISC]])</f>
        <v>29332200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45275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>
        <f ca="1">IF(NOTA[[#This Row],[ID]]="","",COUNTIF(NOTA[ID_H],NOTA[[#This Row],[ID_H]]))</f>
        <v>3</v>
      </c>
      <c r="AM362" s="38">
        <f>IF(NOTA[[#This Row],[TGL.NOTA]]="",IF(NOTA[[#This Row],[SUPPLIER_H]]="","",AM361),MONTH(NOTA[[#This Row],[TGL.NOTA]]))</f>
        <v>12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MORO2312071645272kenkostaplerhd10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1791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74</v>
      </c>
      <c r="E363" s="46"/>
      <c r="F363" s="37"/>
      <c r="G363" s="37"/>
      <c r="H363" s="47"/>
      <c r="I363" s="37"/>
      <c r="J363" s="39"/>
      <c r="K363" s="37"/>
      <c r="L363" s="37" t="s">
        <v>211</v>
      </c>
      <c r="M363" s="40">
        <v>15</v>
      </c>
      <c r="O363" s="37"/>
      <c r="P363" s="41"/>
      <c r="Q363" s="42">
        <v>2280000</v>
      </c>
      <c r="R363" s="48"/>
      <c r="S363" s="49">
        <v>0.17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34200000</v>
      </c>
      <c r="Y363" s="50">
        <f>IF(NOTA[[#This Row],[JUMLAH]]="","",NOTA[[#This Row],[JUMLAH]]*NOTA[[#This Row],[DISC 1]])</f>
        <v>5814000</v>
      </c>
      <c r="Z363" s="50">
        <f>IF(NOTA[[#This Row],[JUMLAH]]="","",(NOTA[[#This Row],[JUMLAH]]-NOTA[[#This Row],[DISC 1-]])*NOTA[[#This Row],[DISC 2]])</f>
        <v>1419300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7233300</v>
      </c>
      <c r="AC363" s="50">
        <f>IF(NOTA[[#This Row],[JUMLAH]]="","",NOTA[[#This Row],[JUMLAH]]-NOTA[[#This Row],[DISC]])</f>
        <v>26966700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45275</v>
      </c>
      <c r="AJ363" s="41" t="str">
        <f ca="1">IF(NOTA[[#This Row],[NAMA BARANG]]="","",INDEX(NOTA[SUPPLIER],MATCH(,INDIRECT(ADDRESS(ROW(NOTA[ID]),COLUMN(NOTA[ID]))&amp;":"&amp;ADDRESS(ROW(),COLUMN(NOTA[ID]))),-1)))</f>
        <v>KENKO SINAR INDONESIA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12</v>
      </c>
      <c r="AN36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1797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74</v>
      </c>
      <c r="E364" s="46"/>
      <c r="F364" s="37"/>
      <c r="G364" s="37"/>
      <c r="H364" s="47"/>
      <c r="I364" s="37"/>
      <c r="J364" s="39"/>
      <c r="K364" s="37"/>
      <c r="L364" s="37" t="s">
        <v>490</v>
      </c>
      <c r="M364" s="40">
        <v>1</v>
      </c>
      <c r="O364" s="37"/>
      <c r="P364" s="41"/>
      <c r="Q364" s="42">
        <v>1150000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1150000</v>
      </c>
      <c r="Y364" s="50">
        <f>IF(NOTA[[#This Row],[JUMLAH]]="","",NOTA[[#This Row],[JUMLAH]]*NOTA[[#This Row],[DISC 1]])</f>
        <v>195500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195500</v>
      </c>
      <c r="AC364" s="50">
        <f>IF(NOTA[[#This Row],[JUMLAH]]="","",NOTA[[#This Row],[JUMLAH]]-NOTA[[#This Row],[DISC]])</f>
        <v>954500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15296600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57253400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45275</v>
      </c>
      <c r="AJ364" s="41" t="str">
        <f ca="1">IF(NOTA[[#This Row],[NAMA BARANG]]="","",INDEX(NOTA[SUPPLIER],MATCH(,INDIRECT(ADDRESS(ROW(NOTA[ID]),COLUMN(NOTA[ID]))&amp;":"&amp;ADDRESS(ROW(),COLUMN(NOTA[ID]))),-1)))</f>
        <v>KENKO SINAR INDONESIA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12</v>
      </c>
      <c r="AN364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1698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10 BOX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KEN_1512_905-7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75</v>
      </c>
      <c r="E366" s="46">
        <v>45275</v>
      </c>
      <c r="F366" s="37" t="s">
        <v>22</v>
      </c>
      <c r="G366" s="37" t="s">
        <v>23</v>
      </c>
      <c r="H366" s="47" t="s">
        <v>445</v>
      </c>
      <c r="I366" s="37"/>
      <c r="J366" s="39">
        <v>45273</v>
      </c>
      <c r="K366" s="37"/>
      <c r="L366" s="37" t="s">
        <v>196</v>
      </c>
      <c r="M366" s="40">
        <v>4</v>
      </c>
      <c r="O366" s="37"/>
      <c r="P366" s="41"/>
      <c r="Q366" s="42">
        <v>1954800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7819200</v>
      </c>
      <c r="Y366" s="50">
        <f>IF(NOTA[[#This Row],[JUMLAH]]="","",NOTA[[#This Row],[JUMLAH]]*NOTA[[#This Row],[DISC 1]])</f>
        <v>1329264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1329264</v>
      </c>
      <c r="AC366" s="50">
        <f>IF(NOTA[[#This Row],[JUMLAH]]="","",NOTA[[#This Row],[JUMLAH]]-NOTA[[#This Row],[DISC]])</f>
        <v>6489936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45275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7</v>
      </c>
      <c r="AM366" s="38">
        <f>IF(NOTA[[#This Row],[TGL.NOTA]]="",IF(NOTA[[#This Row],[SUPPLIER_H]]="","",AM365),MONTH(NOTA[[#This Row],[TGL.NOTA]]))</f>
        <v>12</v>
      </c>
      <c r="AN36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MORO2312090545273kenkocorrectionfluidke01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1569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36 LSN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75</v>
      </c>
      <c r="E367" s="46"/>
      <c r="F367" s="37"/>
      <c r="G367" s="37"/>
      <c r="H367" s="47"/>
      <c r="I367" s="37"/>
      <c r="J367" s="39"/>
      <c r="K367" s="37"/>
      <c r="L367" s="37" t="s">
        <v>446</v>
      </c>
      <c r="M367" s="40">
        <v>1</v>
      </c>
      <c r="O367" s="37"/>
      <c r="P367" s="41"/>
      <c r="Q367" s="42">
        <v>1440000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1440000</v>
      </c>
      <c r="Y367" s="50">
        <f>IF(NOTA[[#This Row],[JUMLAH]]="","",NOTA[[#This Row],[JUMLAH]]*NOTA[[#This Row],[DISC 1]])</f>
        <v>244800.00000000003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244800.00000000003</v>
      </c>
      <c r="AC367" s="50">
        <f>IF(NOTA[[#This Row],[JUMLAH]]="","",NOTA[[#This Row],[JUMLAH]]-NOTA[[#This Row],[DISC]])</f>
        <v>1195200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45275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12</v>
      </c>
      <c r="AN36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1508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GRS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75</v>
      </c>
      <c r="E368" s="46"/>
      <c r="F368" s="37"/>
      <c r="G368" s="37"/>
      <c r="H368" s="47"/>
      <c r="I368" s="37"/>
      <c r="J368" s="39"/>
      <c r="K368" s="37"/>
      <c r="L368" s="37" t="s">
        <v>447</v>
      </c>
      <c r="M368" s="40">
        <v>1</v>
      </c>
      <c r="O368" s="37"/>
      <c r="P368" s="41"/>
      <c r="Q368" s="42">
        <v>2592000</v>
      </c>
      <c r="R368" s="48"/>
      <c r="S368" s="49">
        <v>0.17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2592000</v>
      </c>
      <c r="Y368" s="50">
        <f>IF(NOTA[[#This Row],[JUMLAH]]="","",NOTA[[#This Row],[JUMLAH]]*NOTA[[#This Row],[DISC 1]])</f>
        <v>440640.00000000006</v>
      </c>
      <c r="Z368" s="50">
        <f>IF(NOTA[[#This Row],[JUMLAH]]="","",(NOTA[[#This Row],[JUMLAH]]-NOTA[[#This Row],[DISC 1-]])*NOTA[[#This Row],[DISC 2]])</f>
        <v>107568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548208</v>
      </c>
      <c r="AC368" s="50">
        <f>IF(NOTA[[#This Row],[JUMLAH]]="","",NOTA[[#This Row],[JUMLAH]]-NOTA[[#This Row],[DISC]])</f>
        <v>2043792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45275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12</v>
      </c>
      <c r="AN368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1598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48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75</v>
      </c>
      <c r="E369" s="46"/>
      <c r="F369" s="37"/>
      <c r="G369" s="37"/>
      <c r="H369" s="47"/>
      <c r="I369" s="37"/>
      <c r="J369" s="39"/>
      <c r="K369" s="37"/>
      <c r="L369" s="37" t="s">
        <v>448</v>
      </c>
      <c r="M369" s="40">
        <v>2</v>
      </c>
      <c r="O369" s="37"/>
      <c r="P369" s="41"/>
      <c r="Q369" s="42">
        <v>2592000</v>
      </c>
      <c r="R369" s="48"/>
      <c r="S369" s="49">
        <v>0.17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5184000</v>
      </c>
      <c r="Y369" s="50">
        <f>IF(NOTA[[#This Row],[JUMLAH]]="","",NOTA[[#This Row],[JUMLAH]]*NOTA[[#This Row],[DISC 1]])</f>
        <v>881280.00000000012</v>
      </c>
      <c r="Z369" s="50">
        <f>IF(NOTA[[#This Row],[JUMLAH]]="","",(NOTA[[#This Row],[JUMLAH]]-NOTA[[#This Row],[DISC 1-]])*NOTA[[#This Row],[DISC 2]])</f>
        <v>215136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1096416</v>
      </c>
      <c r="AC369" s="50">
        <f>IF(NOTA[[#This Row],[JUMLAH]]="","",NOTA[[#This Row],[JUMLAH]]-NOTA[[#This Row],[DISC]])</f>
        <v>4087584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45275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12</v>
      </c>
      <c r="AN369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1599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48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75</v>
      </c>
      <c r="E370" s="46"/>
      <c r="F370" s="37"/>
      <c r="G370" s="37"/>
      <c r="H370" s="47"/>
      <c r="I370" s="37"/>
      <c r="J370" s="39"/>
      <c r="K370" s="37"/>
      <c r="L370" s="37" t="s">
        <v>449</v>
      </c>
      <c r="M370" s="40">
        <v>10</v>
      </c>
      <c r="O370" s="37"/>
      <c r="P370" s="41"/>
      <c r="Q370" s="42">
        <v>1860000</v>
      </c>
      <c r="R370" s="48"/>
      <c r="S370" s="49">
        <v>0.17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18600000</v>
      </c>
      <c r="Y370" s="50">
        <f>IF(NOTA[[#This Row],[JUMLAH]]="","",NOTA[[#This Row],[JUMLAH]]*NOTA[[#This Row],[DISC 1]])</f>
        <v>3162000</v>
      </c>
      <c r="Z370" s="50">
        <f>IF(NOTA[[#This Row],[JUMLAH]]="","",(NOTA[[#This Row],[JUMLAH]]-NOTA[[#This Row],[DISC 1-]])*NOTA[[#This Row],[DISC 2]])</f>
        <v>771900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3933900</v>
      </c>
      <c r="AC370" s="50">
        <f>IF(NOTA[[#This Row],[JUMLAH]]="","",NOTA[[#This Row],[JUMLAH]]-NOTA[[#This Row],[DISC]])</f>
        <v>14666100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45275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12</v>
      </c>
      <c r="AN370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1794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20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75</v>
      </c>
      <c r="E371" s="46"/>
      <c r="F371" s="37"/>
      <c r="G371" s="37"/>
      <c r="H371" s="47"/>
      <c r="I371" s="37"/>
      <c r="J371" s="39"/>
      <c r="K371" s="37"/>
      <c r="L371" s="37" t="s">
        <v>450</v>
      </c>
      <c r="M371" s="40">
        <v>1</v>
      </c>
      <c r="O371" s="37"/>
      <c r="P371" s="41"/>
      <c r="Q371" s="42">
        <v>850000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850000</v>
      </c>
      <c r="Y371" s="50">
        <f>IF(NOTA[[#This Row],[JUMLAH]]="","",NOTA[[#This Row],[JUMLAH]]*NOTA[[#This Row],[DISC 1]])</f>
        <v>144500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144500</v>
      </c>
      <c r="AC371" s="50">
        <f>IF(NOTA[[#This Row],[JUMLAH]]="","",NOTA[[#This Row],[JUMLAH]]-NOTA[[#This Row],[DISC]])</f>
        <v>705500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45275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12</v>
      </c>
      <c r="AN37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1814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500 BOX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75</v>
      </c>
      <c r="E372" s="46"/>
      <c r="F372" s="37"/>
      <c r="G372" s="37"/>
      <c r="H372" s="47"/>
      <c r="I372" s="37"/>
      <c r="J372" s="39"/>
      <c r="K372" s="37"/>
      <c r="L372" s="37" t="s">
        <v>451</v>
      </c>
      <c r="M372" s="40">
        <v>2</v>
      </c>
      <c r="O372" s="37"/>
      <c r="P372" s="41"/>
      <c r="Q372" s="42">
        <v>462000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924000</v>
      </c>
      <c r="Y372" s="50">
        <f>IF(NOTA[[#This Row],[JUMLAH]]="","",NOTA[[#This Row],[JUMLAH]]*NOTA[[#This Row],[DISC 1]])</f>
        <v>157080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157080</v>
      </c>
      <c r="AC372" s="50">
        <f>IF(NOTA[[#This Row],[JUMLAH]]="","",NOTA[[#This Row],[JUMLAH]]-NOTA[[#This Row],[DISC]])</f>
        <v>766920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7454168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29955032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45275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12</v>
      </c>
      <c r="AN37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1808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PCS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KEN_1612_057-4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76</v>
      </c>
      <c r="E374" s="46">
        <v>45276</v>
      </c>
      <c r="F374" s="37" t="s">
        <v>22</v>
      </c>
      <c r="G374" s="37" t="s">
        <v>23</v>
      </c>
      <c r="H374" s="47" t="s">
        <v>452</v>
      </c>
      <c r="I374" s="37"/>
      <c r="J374" s="39">
        <v>45274</v>
      </c>
      <c r="K374" s="37"/>
      <c r="L374" s="37" t="s">
        <v>453</v>
      </c>
      <c r="M374" s="40">
        <v>2</v>
      </c>
      <c r="O374" s="37"/>
      <c r="P374" s="41"/>
      <c r="Q374" s="42">
        <v>1695600</v>
      </c>
      <c r="R374" s="48"/>
      <c r="S374" s="49">
        <v>0.17</v>
      </c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3391200</v>
      </c>
      <c r="Y374" s="50">
        <f>IF(NOTA[[#This Row],[JUMLAH]]="","",NOTA[[#This Row],[JUMLAH]]*NOTA[[#This Row],[DISC 1]])</f>
        <v>576504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576504</v>
      </c>
      <c r="AC374" s="50">
        <f>IF(NOTA[[#This Row],[JUMLAH]]="","",NOTA[[#This Row],[JUMLAH]]-NOTA[[#This Row],[DISC]])</f>
        <v>2814696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45276</v>
      </c>
      <c r="AJ374" s="41" t="str">
        <f ca="1">IF(NOTA[[#This Row],[NAMA BARANG]]="","",INDEX(NOTA[SUPPLIER],MATCH(,INDIRECT(ADDRESS(ROW(NOTA[ID]),COLUMN(NOTA[ID]))&amp;":"&amp;ADDRESS(ROW(),COLUMN(NOTA[ID]))),-1)))</f>
        <v>KENKO SINAR INDONESIA</v>
      </c>
      <c r="AK374" s="41" t="str">
        <f ca="1">IF(NOTA[[#This Row],[ID_H]]="","",IF(NOTA[[#This Row],[FAKTUR]]="",INDIRECT(ADDRESS(ROW()-1,COLUMN())),NOTA[[#This Row],[FAKTUR]]))</f>
        <v>ARTO MORO</v>
      </c>
      <c r="AL374" s="38">
        <f ca="1">IF(NOTA[[#This Row],[ID]]="","",COUNTIF(NOTA[ID_H],NOTA[[#This Row],[ID_H]]))</f>
        <v>4</v>
      </c>
      <c r="AM374" s="38">
        <f>IF(NOTA[[#This Row],[TGL.NOTA]]="",IF(NOTA[[#This Row],[SUPPLIER_H]]="","",AM373),MONTH(NOTA[[#This Row],[TGL.NOTA]]))</f>
        <v>12</v>
      </c>
      <c r="AN37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MORO2312105745274kenkocorrectionfluidke108</v>
      </c>
      <c r="AR374" s="38" t="e">
        <f>IF(NOTA[[#This Row],[CONCAT4]]="","",_xlfn.IFNA(MATCH(NOTA[[#This Row],[CONCAT4]],[2]!RAW[CONCAT_H],0),FALSE))</f>
        <v>#REF!</v>
      </c>
      <c r="AS374" s="38">
        <f>IF(NOTA[[#This Row],[CONCAT1]]="","",MATCH(NOTA[[#This Row],[CONCAT1]],[3]!db[NB NOTA_C],0))</f>
        <v>1571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36 LSN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76</v>
      </c>
      <c r="E375" s="46"/>
      <c r="F375" s="37"/>
      <c r="G375" s="37"/>
      <c r="H375" s="47"/>
      <c r="I375" s="37"/>
      <c r="J375" s="39"/>
      <c r="K375" s="37"/>
      <c r="L375" s="37" t="s">
        <v>454</v>
      </c>
      <c r="M375" s="40">
        <v>1</v>
      </c>
      <c r="O375" s="37"/>
      <c r="P375" s="41"/>
      <c r="Q375" s="42">
        <v>1188000</v>
      </c>
      <c r="R375" s="48"/>
      <c r="S375" s="49">
        <v>0.17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1188000</v>
      </c>
      <c r="Y375" s="50">
        <f>IF(NOTA[[#This Row],[JUMLAH]]="","",NOTA[[#This Row],[JUMLAH]]*NOTA[[#This Row],[DISC 1]])</f>
        <v>201960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201960</v>
      </c>
      <c r="AC375" s="50">
        <f>IF(NOTA[[#This Row],[JUMLAH]]="","",NOTA[[#This Row],[JUMLAH]]-NOTA[[#This Row],[DISC]])</f>
        <v>986040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45276</v>
      </c>
      <c r="AJ375" s="41" t="str">
        <f ca="1">IF(NOTA[[#This Row],[NAMA BARANG]]="","",INDEX(NOTA[SUPPLIER],MATCH(,INDIRECT(ADDRESS(ROW(NOTA[ID]),COLUMN(NOTA[ID]))&amp;":"&amp;ADDRESS(ROW(),COLUMN(NOTA[ID]))),-1)))</f>
        <v>KENKO SINAR INDONESIA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12</v>
      </c>
      <c r="AN37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1769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10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76</v>
      </c>
      <c r="E376" s="46"/>
      <c r="F376" s="37"/>
      <c r="G376" s="37"/>
      <c r="H376" s="47"/>
      <c r="I376" s="37"/>
      <c r="J376" s="39"/>
      <c r="K376" s="37"/>
      <c r="L376" s="37" t="s">
        <v>455</v>
      </c>
      <c r="M376" s="40">
        <v>2</v>
      </c>
      <c r="O376" s="37"/>
      <c r="P376" s="41"/>
      <c r="Q376" s="42">
        <v>840000</v>
      </c>
      <c r="R376" s="48"/>
      <c r="S376" s="49">
        <v>0.17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1680000</v>
      </c>
      <c r="Y376" s="50">
        <f>IF(NOTA[[#This Row],[JUMLAH]]="","",NOTA[[#This Row],[JUMLAH]]*NOTA[[#This Row],[DISC 1]])</f>
        <v>285600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285600</v>
      </c>
      <c r="AC376" s="50">
        <f>IF(NOTA[[#This Row],[JUMLAH]]="","",NOTA[[#This Row],[JUMLAH]]-NOTA[[#This Row],[DISC]])</f>
        <v>1394400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45276</v>
      </c>
      <c r="AJ376" s="41" t="str">
        <f ca="1">IF(NOTA[[#This Row],[NAMA BARANG]]="","",INDEX(NOTA[SUPPLIER],MATCH(,INDIRECT(ADDRESS(ROW(NOTA[ID]),COLUMN(NOTA[ID]))&amp;":"&amp;ADDRESS(ROW(),COLUMN(NOTA[ID]))),-1)))</f>
        <v>KENKO SINAR INDONESIA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12</v>
      </c>
      <c r="AN37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1802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20 PAK (10 BOX)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76</v>
      </c>
      <c r="E377" s="46"/>
      <c r="F377" s="37"/>
      <c r="G377" s="37"/>
      <c r="H377" s="47"/>
      <c r="I377" s="37"/>
      <c r="J377" s="39"/>
      <c r="K377" s="37"/>
      <c r="L377" s="37" t="s">
        <v>456</v>
      </c>
      <c r="M377" s="40">
        <v>2</v>
      </c>
      <c r="O377" s="37"/>
      <c r="P377" s="41"/>
      <c r="Q377" s="42">
        <v>900000</v>
      </c>
      <c r="R377" s="48"/>
      <c r="S377" s="49">
        <v>0.17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1800000</v>
      </c>
      <c r="Y377" s="50">
        <f>IF(NOTA[[#This Row],[JUMLAH]]="","",NOTA[[#This Row],[JUMLAH]]*NOTA[[#This Row],[DISC 1]])</f>
        <v>306000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306000</v>
      </c>
      <c r="AC377" s="50">
        <f>IF(NOTA[[#This Row],[JUMLAH]]="","",NOTA[[#This Row],[JUMLAH]]-NOTA[[#This Row],[DISC]])</f>
        <v>1494000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1370064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6689136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77" s="50" t="str">
        <f>IF(OR(NOTA[[#This Row],[QTY]]="",NOTA[[#This Row],[HARGA SATUAN]]="",),"",NOTA[[#This Row],[QTY]]*NOTA[[#This Row],[HARGA SATUAN]])</f>
        <v/>
      </c>
      <c r="AI377" s="39">
        <f ca="1">IF(NOTA[ID_H]="","",INDEX(NOTA[TANGGAL],MATCH(,INDIRECT(ADDRESS(ROW(NOTA[TANGGAL]),COLUMN(NOTA[TANGGAL]))&amp;":"&amp;ADDRESS(ROW(),COLUMN(NOTA[TANGGAL]))),-1)))</f>
        <v>45276</v>
      </c>
      <c r="AJ377" s="41" t="str">
        <f ca="1">IF(NOTA[[#This Row],[NAMA BARANG]]="","",INDEX(NOTA[SUPPLIER],MATCH(,INDIRECT(ADDRESS(ROW(NOTA[ID]),COLUMN(NOTA[ID]))&amp;":"&amp;ADDRESS(ROW(),COLUMN(NOTA[ID]))),-1)))</f>
        <v>KENKO SINAR INDONESIA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12</v>
      </c>
      <c r="AN377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1513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5 GRS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KEN_1612_235-3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77</v>
      </c>
      <c r="E379" s="46">
        <v>45276</v>
      </c>
      <c r="F379" s="37" t="s">
        <v>22</v>
      </c>
      <c r="G379" s="37" t="s">
        <v>23</v>
      </c>
      <c r="H379" s="47" t="s">
        <v>457</v>
      </c>
      <c r="I379" s="37"/>
      <c r="J379" s="39">
        <v>45275</v>
      </c>
      <c r="K379" s="37"/>
      <c r="L379" s="37" t="s">
        <v>196</v>
      </c>
      <c r="M379" s="40">
        <v>2</v>
      </c>
      <c r="O379" s="37"/>
      <c r="P379" s="41"/>
      <c r="Q379" s="42">
        <v>1954800</v>
      </c>
      <c r="R379" s="48"/>
      <c r="S379" s="49">
        <v>0.17</v>
      </c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3909600</v>
      </c>
      <c r="Y379" s="50">
        <f>IF(NOTA[[#This Row],[JUMLAH]]="","",NOTA[[#This Row],[JUMLAH]]*NOTA[[#This Row],[DISC 1]])</f>
        <v>664632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664632</v>
      </c>
      <c r="AC379" s="50">
        <f>IF(NOTA[[#This Row],[JUMLAH]]="","",NOTA[[#This Row],[JUMLAH]]-NOTA[[#This Row],[DISC]])</f>
        <v>3244968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45276</v>
      </c>
      <c r="AJ379" s="41" t="str">
        <f ca="1">IF(NOTA[[#This Row],[NAMA BARANG]]="","",INDEX(NOTA[SUPPLIER],MATCH(,INDIRECT(ADDRESS(ROW(NOTA[ID]),COLUMN(NOTA[ID]))&amp;":"&amp;ADDRESS(ROW(),COLUMN(NOTA[ID]))),-1)))</f>
        <v>KENKO SINAR INDONESIA</v>
      </c>
      <c r="AK379" s="41" t="str">
        <f ca="1">IF(NOTA[[#This Row],[ID_H]]="","",IF(NOTA[[#This Row],[FAKTUR]]="",INDIRECT(ADDRESS(ROW()-1,COLUMN())),NOTA[[#This Row],[FAKTUR]]))</f>
        <v>ARTO MORO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12</v>
      </c>
      <c r="AN37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MORO2312123545275kenkocorrectionfluidke01</v>
      </c>
      <c r="AR379" s="38" t="e">
        <f>IF(NOTA[[#This Row],[CONCAT4]]="","",_xlfn.IFNA(MATCH(NOTA[[#This Row],[CONCAT4]],[2]!RAW[CONCAT_H],0),FALSE))</f>
        <v>#REF!</v>
      </c>
      <c r="AS379" s="38">
        <f>IF(NOTA[[#This Row],[CONCAT1]]="","",MATCH(NOTA[[#This Row],[CONCAT1]],[3]!db[NB NOTA_C],0))</f>
        <v>1569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36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77</v>
      </c>
      <c r="E380" s="46"/>
      <c r="F380" s="37"/>
      <c r="G380" s="37"/>
      <c r="H380" s="47"/>
      <c r="I380" s="37"/>
      <c r="J380" s="39"/>
      <c r="K380" s="37"/>
      <c r="L380" s="37" t="s">
        <v>458</v>
      </c>
      <c r="M380" s="40">
        <v>1</v>
      </c>
      <c r="O380" s="37"/>
      <c r="P380" s="41"/>
      <c r="Q380" s="42">
        <v>900000</v>
      </c>
      <c r="R380" s="48"/>
      <c r="S380" s="49">
        <v>0.17</v>
      </c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900000</v>
      </c>
      <c r="Y380" s="50">
        <f>IF(NOTA[[#This Row],[JUMLAH]]="","",NOTA[[#This Row],[JUMLAH]]*NOTA[[#This Row],[DISC 1]])</f>
        <v>153000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153000</v>
      </c>
      <c r="AC380" s="50">
        <f>IF(NOTA[[#This Row],[JUMLAH]]="","",NOTA[[#This Row],[JUMLAH]]-NOTA[[#This Row],[DISC]])</f>
        <v>747000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45276</v>
      </c>
      <c r="AJ380" s="41" t="str">
        <f ca="1">IF(NOTA[[#This Row],[NAMA BARANG]]="","",INDEX(NOTA[SUPPLIER],MATCH(,INDIRECT(ADDRESS(ROW(NOTA[ID]),COLUMN(NOTA[ID]))&amp;":"&amp;ADDRESS(ROW(),COLUMN(NOTA[ID]))),-1)))</f>
        <v>KENKO SINAR INDONESIA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12</v>
      </c>
      <c r="AN38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1513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5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77</v>
      </c>
      <c r="E381" s="46"/>
      <c r="F381" s="37"/>
      <c r="G381" s="37"/>
      <c r="H381" s="47"/>
      <c r="I381" s="39"/>
      <c r="J381" s="39"/>
      <c r="K381" s="37"/>
      <c r="L381" s="37" t="s">
        <v>459</v>
      </c>
      <c r="M381" s="40">
        <v>1</v>
      </c>
      <c r="O381" s="37"/>
      <c r="P381" s="41"/>
      <c r="Q381" s="42">
        <v>800000</v>
      </c>
      <c r="R381" s="48"/>
      <c r="S381" s="49">
        <v>0.17</v>
      </c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800000</v>
      </c>
      <c r="Y381" s="50">
        <f>IF(NOTA[[#This Row],[JUMLAH]]="","",NOTA[[#This Row],[JUMLAH]]*NOTA[[#This Row],[DISC 1]])</f>
        <v>136000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136000</v>
      </c>
      <c r="AC381" s="50">
        <f>IF(NOTA[[#This Row],[JUMLAH]]="","",NOTA[[#This Row],[JUMLAH]]-NOTA[[#This Row],[DISC]])</f>
        <v>664000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953632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4655968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45276</v>
      </c>
      <c r="AJ381" s="41" t="str">
        <f ca="1">IF(NOTA[[#This Row],[NAMA BARANG]]="","",INDEX(NOTA[SUPPLIER],MATCH(,INDIRECT(ADDRESS(ROW(NOTA[ID]),COLUMN(NOTA[ID]))&amp;":"&amp;ADDRESS(ROW(),COLUMN(NOTA[ID]))),-1)))</f>
        <v>KENKO SINAR INDONESIA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12</v>
      </c>
      <c r="AN38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1813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500 BOX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KEN_1612_192-3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78</v>
      </c>
      <c r="E383" s="46"/>
      <c r="F383" s="37" t="s">
        <v>22</v>
      </c>
      <c r="G383" s="37" t="s">
        <v>23</v>
      </c>
      <c r="H383" s="47" t="s">
        <v>460</v>
      </c>
      <c r="I383" s="37"/>
      <c r="J383" s="39">
        <v>45275</v>
      </c>
      <c r="K383" s="37"/>
      <c r="L383" s="37" t="s">
        <v>441</v>
      </c>
      <c r="M383" s="40">
        <v>4</v>
      </c>
      <c r="O383" s="37"/>
      <c r="P383" s="41"/>
      <c r="Q383" s="42">
        <v>2088000</v>
      </c>
      <c r="R383" s="48"/>
      <c r="S383" s="49">
        <v>0.17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8352000</v>
      </c>
      <c r="Y383" s="50">
        <f>IF(NOTA[[#This Row],[JUMLAH]]="","",NOTA[[#This Row],[JUMLAH]]*NOTA[[#This Row],[DISC 1]])</f>
        <v>1419840</v>
      </c>
      <c r="Z383" s="50">
        <f>IF(NOTA[[#This Row],[JUMLAH]]="","",(NOTA[[#This Row],[JUMLAH]]-NOTA[[#This Row],[DISC 1-]])*NOTA[[#This Row],[DISC 2]])</f>
        <v>346608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1766448</v>
      </c>
      <c r="AC383" s="50">
        <f>IF(NOTA[[#This Row],[JUMLAH]]="","",NOTA[[#This Row],[JUMLAH]]-NOTA[[#This Row],[DISC]])</f>
        <v>6585552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45276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3</v>
      </c>
      <c r="AM383" s="38">
        <f>IF(NOTA[[#This Row],[TGL.NOTA]]="",IF(NOTA[[#This Row],[SUPPLIER_H]]="","",AM382),MONTH(NOTA[[#This Row],[TGL.NOTA]]))</f>
        <v>12</v>
      </c>
      <c r="AN38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MORO2312119245275titi12coloroilpasteltip12s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2984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12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78</v>
      </c>
      <c r="E384" s="46"/>
      <c r="F384" s="37"/>
      <c r="G384" s="37"/>
      <c r="H384" s="47"/>
      <c r="I384" s="37"/>
      <c r="J384" s="39"/>
      <c r="K384" s="37"/>
      <c r="L384" s="37" t="s">
        <v>437</v>
      </c>
      <c r="M384" s="40">
        <v>10</v>
      </c>
      <c r="O384" s="37"/>
      <c r="P384" s="41"/>
      <c r="Q384" s="42">
        <v>3888000</v>
      </c>
      <c r="R384" s="48"/>
      <c r="S384" s="49">
        <v>0.17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38880000</v>
      </c>
      <c r="Y384" s="50">
        <f>IF(NOTA[[#This Row],[JUMLAH]]="","",NOTA[[#This Row],[JUMLAH]]*NOTA[[#This Row],[DISC 1]])</f>
        <v>6609600.0000000009</v>
      </c>
      <c r="Z384" s="50">
        <f>IF(NOTA[[#This Row],[JUMLAH]]="","",(NOTA[[#This Row],[JUMLAH]]-NOTA[[#This Row],[DISC 1-]])*NOTA[[#This Row],[DISC 2]])</f>
        <v>1613520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8223120.0000000009</v>
      </c>
      <c r="AC384" s="50">
        <f>IF(NOTA[[#This Row],[JUMLAH]]="","",NOTA[[#This Row],[JUMLAH]]-NOTA[[#This Row],[DISC]])</f>
        <v>30656880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45276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12</v>
      </c>
      <c r="AN38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1608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60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78</v>
      </c>
      <c r="E385" s="46"/>
      <c r="F385" s="37"/>
      <c r="G385" s="37"/>
      <c r="H385" s="47"/>
      <c r="I385" s="37"/>
      <c r="J385" s="39"/>
      <c r="K385" s="37"/>
      <c r="L385" s="37" t="s">
        <v>461</v>
      </c>
      <c r="M385" s="40">
        <v>4</v>
      </c>
      <c r="O385" s="37"/>
      <c r="P385" s="41"/>
      <c r="Q385" s="42">
        <v>840000</v>
      </c>
      <c r="R385" s="48"/>
      <c r="S385" s="49">
        <v>0.17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3360000</v>
      </c>
      <c r="Y385" s="50">
        <f>IF(NOTA[[#This Row],[JUMLAH]]="","",NOTA[[#This Row],[JUMLAH]]*NOTA[[#This Row],[DISC 1]])</f>
        <v>571200</v>
      </c>
      <c r="Z385" s="50">
        <f>IF(NOTA[[#This Row],[JUMLAH]]="","",(NOTA[[#This Row],[JUMLAH]]-NOTA[[#This Row],[DISC 1-]])*NOTA[[#This Row],[DISC 2]])</f>
        <v>139440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710640</v>
      </c>
      <c r="AC385" s="50">
        <f>IF(NOTA[[#This Row],[JUMLAH]]="","",NOTA[[#This Row],[JUMLAH]]-NOTA[[#This Row],[DISC]])</f>
        <v>2649360</v>
      </c>
      <c r="AD385" s="50"/>
      <c r="AE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10700208</v>
      </c>
      <c r="AF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39891792</v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45276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12</v>
      </c>
      <c r="AN385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1801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40 PAK (20 BOX)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kenkostaplesno101m40pak20boxartomoro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KEN_1612_185-10</v>
      </c>
      <c r="C387" s="38" t="e">
        <f ca="1">IF(NOTA[[#This Row],[ID_P]]="","",MATCH(NOTA[[#This Row],[ID_P]],[1]!B_MSK[N_ID],0))</f>
        <v>#REF!</v>
      </c>
      <c r="D387" s="38">
        <f ca="1">IF(NOTA[[#This Row],[NAMA BARANG]]="","",INDEX(NOTA[ID],MATCH(,INDIRECT(ADDRESS(ROW(NOTA[ID]),COLUMN(NOTA[ID]))&amp;":"&amp;ADDRESS(ROW(),COLUMN(NOTA[ID]))),-1)))</f>
        <v>79</v>
      </c>
      <c r="E387" s="46">
        <v>45276</v>
      </c>
      <c r="F387" s="37" t="s">
        <v>22</v>
      </c>
      <c r="G387" s="37" t="s">
        <v>23</v>
      </c>
      <c r="H387" s="47" t="s">
        <v>462</v>
      </c>
      <c r="I387" s="37"/>
      <c r="J387" s="39">
        <v>45275</v>
      </c>
      <c r="K387" s="37"/>
      <c r="L387" s="37" t="s">
        <v>436</v>
      </c>
      <c r="M387" s="40">
        <v>5</v>
      </c>
      <c r="O387" s="37"/>
      <c r="P387" s="41"/>
      <c r="Q387" s="42">
        <v>2980800</v>
      </c>
      <c r="R387" s="48"/>
      <c r="S387" s="49">
        <v>0.17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14904000</v>
      </c>
      <c r="Y387" s="50">
        <f>IF(NOTA[[#This Row],[JUMLAH]]="","",NOTA[[#This Row],[JUMLAH]]*NOTA[[#This Row],[DISC 1]])</f>
        <v>2533680</v>
      </c>
      <c r="Z387" s="50">
        <f>IF(NOTA[[#This Row],[JUMLAH]]="","",(NOTA[[#This Row],[JUMLAH]]-NOTA[[#This Row],[DISC 1-]])*NOTA[[#This Row],[DISC 2]])</f>
        <v>618516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3152196</v>
      </c>
      <c r="AC387" s="50">
        <f>IF(NOTA[[#This Row],[JUMLAH]]="","",NOTA[[#This Row],[JUMLAH]]-NOTA[[#This Row],[DISC]])</f>
        <v>11751804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45276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>
        <f ca="1">IF(NOTA[[#This Row],[ID]]="","",COUNTIF(NOTA[ID_H],NOTA[[#This Row],[ID_H]]))</f>
        <v>10</v>
      </c>
      <c r="AM387" s="38">
        <f>IF(NOTA[[#This Row],[TGL.NOTA]]="",IF(NOTA[[#This Row],[SUPPLIER_H]]="","",AM386),MONTH(NOTA[[#This Row],[TGL.NOTA]]))</f>
        <v>12</v>
      </c>
      <c r="AN38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MORO2312118545275kenko12colorpencilcp12fclassic</v>
      </c>
      <c r="AR387" s="38" t="e">
        <f>IF(NOTA[[#This Row],[CONCAT4]]="","",_xlfn.IFNA(MATCH(NOTA[[#This Row],[CONCAT4]],[2]!RAW[CONCAT_H],0),FALSE))</f>
        <v>#REF!</v>
      </c>
      <c r="AS387" s="38">
        <f>IF(NOTA[[#This Row],[CONCAT1]]="","",MATCH(NOTA[[#This Row],[CONCAT1]],[3]!db[NB NOTA_C],0))</f>
        <v>1490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79</v>
      </c>
      <c r="E388" s="46"/>
      <c r="F388" s="37"/>
      <c r="G388" s="37"/>
      <c r="H388" s="47"/>
      <c r="I388" s="37"/>
      <c r="J388" s="39"/>
      <c r="K388" s="37"/>
      <c r="L388" s="37" t="s">
        <v>438</v>
      </c>
      <c r="M388" s="40">
        <v>4</v>
      </c>
      <c r="O388" s="37"/>
      <c r="P388" s="41"/>
      <c r="Q388" s="42">
        <v>5702400</v>
      </c>
      <c r="R388" s="48"/>
      <c r="S388" s="49">
        <v>0.17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22809600</v>
      </c>
      <c r="Y388" s="50">
        <f>IF(NOTA[[#This Row],[JUMLAH]]="","",NOTA[[#This Row],[JUMLAH]]*NOTA[[#This Row],[DISC 1]])</f>
        <v>3877632.0000000005</v>
      </c>
      <c r="Z388" s="50">
        <f>IF(NOTA[[#This Row],[JUMLAH]]="","",(NOTA[[#This Row],[JUMLAH]]-NOTA[[#This Row],[DISC 1-]])*NOTA[[#This Row],[DISC 2]])</f>
        <v>946598.40000000002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4824230.4000000004</v>
      </c>
      <c r="AC388" s="50">
        <f>IF(NOTA[[#This Row],[JUMLAH]]="","",NOTA[[#This Row],[JUMLAH]]-NOTA[[#This Row],[DISC]])</f>
        <v>17985369.600000001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45276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12</v>
      </c>
      <c r="AN38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1645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79</v>
      </c>
      <c r="E389" s="46"/>
      <c r="F389" s="37"/>
      <c r="G389" s="37"/>
      <c r="H389" s="47"/>
      <c r="I389" s="37"/>
      <c r="J389" s="39"/>
      <c r="K389" s="37"/>
      <c r="L389" s="37" t="s">
        <v>441</v>
      </c>
      <c r="M389" s="40">
        <v>1</v>
      </c>
      <c r="O389" s="37"/>
      <c r="P389" s="41"/>
      <c r="Q389" s="42">
        <v>2088000</v>
      </c>
      <c r="R389" s="48"/>
      <c r="S389" s="49">
        <v>0.17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2088000</v>
      </c>
      <c r="Y389" s="50">
        <f>IF(NOTA[[#This Row],[JUMLAH]]="","",NOTA[[#This Row],[JUMLAH]]*NOTA[[#This Row],[DISC 1]])</f>
        <v>354960</v>
      </c>
      <c r="Z389" s="50">
        <f>IF(NOTA[[#This Row],[JUMLAH]]="","",(NOTA[[#This Row],[JUMLAH]]-NOTA[[#This Row],[DISC 1-]])*NOTA[[#This Row],[DISC 2]])</f>
        <v>86652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441612</v>
      </c>
      <c r="AC389" s="50">
        <f>IF(NOTA[[#This Row],[JUMLAH]]="","",NOTA[[#This Row],[JUMLAH]]-NOTA[[#This Row],[DISC]])</f>
        <v>1646388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45276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12</v>
      </c>
      <c r="AN38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2984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12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79</v>
      </c>
      <c r="E390" s="46"/>
      <c r="F390" s="37"/>
      <c r="G390" s="37"/>
      <c r="H390" s="47"/>
      <c r="I390" s="37"/>
      <c r="J390" s="39"/>
      <c r="K390" s="37"/>
      <c r="L390" s="37" t="s">
        <v>463</v>
      </c>
      <c r="M390" s="40">
        <v>1</v>
      </c>
      <c r="O390" s="37"/>
      <c r="P390" s="41"/>
      <c r="Q390" s="42">
        <v>2592000</v>
      </c>
      <c r="R390" s="48"/>
      <c r="S390" s="49">
        <v>0.17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2592000</v>
      </c>
      <c r="Y390" s="50">
        <f>IF(NOTA[[#This Row],[JUMLAH]]="","",NOTA[[#This Row],[JUMLAH]]*NOTA[[#This Row],[DISC 1]])</f>
        <v>440640.00000000006</v>
      </c>
      <c r="Z390" s="50">
        <f>IF(NOTA[[#This Row],[JUMLAH]]="","",(NOTA[[#This Row],[JUMLAH]]-NOTA[[#This Row],[DISC 1-]])*NOTA[[#This Row],[DISC 2]])</f>
        <v>107568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548208</v>
      </c>
      <c r="AC390" s="50">
        <f>IF(NOTA[[#This Row],[JUMLAH]]="","",NOTA[[#This Row],[JUMLAH]]-NOTA[[#This Row],[DISC]])</f>
        <v>2043792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45276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12</v>
      </c>
      <c r="AN39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1597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48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79</v>
      </c>
      <c r="E391" s="46"/>
      <c r="F391" s="37"/>
      <c r="G391" s="37"/>
      <c r="H391" s="47"/>
      <c r="I391" s="37"/>
      <c r="J391" s="39"/>
      <c r="K391" s="37"/>
      <c r="L391" s="37" t="s">
        <v>448</v>
      </c>
      <c r="M391" s="40">
        <v>1</v>
      </c>
      <c r="O391" s="37"/>
      <c r="P391" s="41"/>
      <c r="Q391" s="42">
        <v>2592000</v>
      </c>
      <c r="R391" s="48"/>
      <c r="S391" s="49">
        <v>0.17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2592000</v>
      </c>
      <c r="Y391" s="50">
        <f>IF(NOTA[[#This Row],[JUMLAH]]="","",NOTA[[#This Row],[JUMLAH]]*NOTA[[#This Row],[DISC 1]])</f>
        <v>440640.00000000006</v>
      </c>
      <c r="Z391" s="50">
        <f>IF(NOTA[[#This Row],[JUMLAH]]="","",(NOTA[[#This Row],[JUMLAH]]-NOTA[[#This Row],[DISC 1-]])*NOTA[[#This Row],[DISC 2]])</f>
        <v>107568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548208</v>
      </c>
      <c r="AC391" s="50">
        <f>IF(NOTA[[#This Row],[JUMLAH]]="","",NOTA[[#This Row],[JUMLAH]]-NOTA[[#This Row],[DISC]])</f>
        <v>2043792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45276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12</v>
      </c>
      <c r="AN391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1599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48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79</v>
      </c>
      <c r="E392" s="46"/>
      <c r="F392" s="37"/>
      <c r="G392" s="37"/>
      <c r="H392" s="47"/>
      <c r="I392" s="37"/>
      <c r="J392" s="39"/>
      <c r="K392" s="37"/>
      <c r="L392" s="37" t="s">
        <v>464</v>
      </c>
      <c r="M392" s="40">
        <v>8</v>
      </c>
      <c r="O392" s="37"/>
      <c r="P392" s="41"/>
      <c r="Q392" s="42">
        <v>1860000</v>
      </c>
      <c r="R392" s="48"/>
      <c r="S392" s="49">
        <v>0.17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14880000</v>
      </c>
      <c r="Y392" s="50">
        <f>IF(NOTA[[#This Row],[JUMLAH]]="","",NOTA[[#This Row],[JUMLAH]]*NOTA[[#This Row],[DISC 1]])</f>
        <v>2529600</v>
      </c>
      <c r="Z392" s="50">
        <f>IF(NOTA[[#This Row],[JUMLAH]]="","",(NOTA[[#This Row],[JUMLAH]]-NOTA[[#This Row],[DISC 1-]])*NOTA[[#This Row],[DISC 2]])</f>
        <v>617520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3147120</v>
      </c>
      <c r="AC392" s="50">
        <f>IF(NOTA[[#This Row],[JUMLAH]]="","",NOTA[[#This Row],[JUMLAH]]-NOTA[[#This Row],[DISC]])</f>
        <v>11732880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45276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12</v>
      </c>
      <c r="AN392" s="38" t="str">
        <f>LOWER(SUBSTITUTE(SUBSTITUTE(SUBSTITUTE(SUBSTITUTE(SUBSTITUTE(SUBSTITUTE(SUBSTITUTE(SUBSTITUTE(SUBSTITUTE(NOTA[NAMA BARANG]," ",),".",""),"-",""),"(",""),")",""),",",""),"/",""),"""",""),"+",""))</f>
        <v>kenkostaplerhd10newcolor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kenkostaplerhd10newcolor18600000.170.05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kenkostaplerhd10newcolor18600000.170.05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1818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20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kenkostaplerhd10newcolor20lsnartomoro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/>
      <c r="L393" s="37" t="s">
        <v>465</v>
      </c>
      <c r="M393" s="40">
        <v>12</v>
      </c>
      <c r="O393" s="37"/>
      <c r="P393" s="41"/>
      <c r="Q393" s="42">
        <v>1860000</v>
      </c>
      <c r="R393" s="48"/>
      <c r="S393" s="49">
        <v>0.17</v>
      </c>
      <c r="T393" s="44">
        <v>0.05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22320000</v>
      </c>
      <c r="Y393" s="50">
        <f>IF(NOTA[[#This Row],[JUMLAH]]="","",NOTA[[#This Row],[JUMLAH]]*NOTA[[#This Row],[DISC 1]])</f>
        <v>3794400.0000000005</v>
      </c>
      <c r="Z393" s="50">
        <f>IF(NOTA[[#This Row],[JUMLAH]]="","",(NOTA[[#This Row],[JUMLAH]]-NOTA[[#This Row],[DISC 1-]])*NOTA[[#This Row],[DISC 2]])</f>
        <v>926280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4720680</v>
      </c>
      <c r="AC393" s="50">
        <f>IF(NOTA[[#This Row],[JUMLAH]]="","",NOTA[[#This Row],[JUMLAH]]-NOTA[[#This Row],[DISC]])</f>
        <v>17599320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45276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12</v>
      </c>
      <c r="AN393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1794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20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/>
      <c r="L394" s="37" t="s">
        <v>223</v>
      </c>
      <c r="M394" s="40">
        <v>1</v>
      </c>
      <c r="O394" s="37"/>
      <c r="P394" s="41"/>
      <c r="Q394" s="42">
        <v>3110400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3110400</v>
      </c>
      <c r="Y394" s="50">
        <f>IF(NOTA[[#This Row],[JUMLAH]]="","",NOTA[[#This Row],[JUMLAH]]*NOTA[[#This Row],[DISC 1]])</f>
        <v>528768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528768</v>
      </c>
      <c r="AC394" s="50">
        <f>IF(NOTA[[#This Row],[JUMLAH]]="","",NOTA[[#This Row],[JUMLAH]]-NOTA[[#This Row],[DISC]])</f>
        <v>2581632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45276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1655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/>
      <c r="L395" s="37" t="s">
        <v>450</v>
      </c>
      <c r="M395" s="40">
        <v>1</v>
      </c>
      <c r="O395" s="37"/>
      <c r="P395" s="41"/>
      <c r="Q395" s="42">
        <v>850000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850000</v>
      </c>
      <c r="Y395" s="50">
        <f>IF(NOTA[[#This Row],[JUMLAH]]="","",NOTA[[#This Row],[JUMLAH]]*NOTA[[#This Row],[DISC 1]])</f>
        <v>144500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144500</v>
      </c>
      <c r="AC395" s="50">
        <f>IF(NOTA[[#This Row],[JUMLAH]]="","",NOTA[[#This Row],[JUMLAH]]-NOTA[[#This Row],[DISC]])</f>
        <v>705500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45276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12</v>
      </c>
      <c r="AN39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1814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500 BOX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/>
      <c r="L396" s="37" t="s">
        <v>466</v>
      </c>
      <c r="M396" s="40">
        <v>1</v>
      </c>
      <c r="O396" s="37"/>
      <c r="P396" s="41"/>
      <c r="Q396" s="42">
        <v>462000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462000</v>
      </c>
      <c r="Y396" s="50">
        <f>IF(NOTA[[#This Row],[JUMLAH]]="","",NOTA[[#This Row],[JUMLAH]]*NOTA[[#This Row],[DISC 1]])</f>
        <v>78540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78540</v>
      </c>
      <c r="AC396" s="50">
        <f>IF(NOTA[[#This Row],[JUMLAH]]="","",NOTA[[#This Row],[JUMLAH]]-NOTA[[#This Row],[DISC]])</f>
        <v>383460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18134062.399999999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68473937.599999994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45276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12</v>
      </c>
      <c r="AN39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1808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24 PCS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KAL_1612_992-7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80</v>
      </c>
      <c r="E398" s="46">
        <v>45276</v>
      </c>
      <c r="F398" s="37" t="s">
        <v>51</v>
      </c>
      <c r="G398" s="37" t="s">
        <v>23</v>
      </c>
      <c r="H398" s="47" t="s">
        <v>467</v>
      </c>
      <c r="I398" s="37"/>
      <c r="J398" s="39">
        <v>45273</v>
      </c>
      <c r="K398" s="37"/>
      <c r="L398" s="37" t="s">
        <v>468</v>
      </c>
      <c r="M398" s="40">
        <v>2</v>
      </c>
      <c r="N398" s="38">
        <v>160</v>
      </c>
      <c r="O398" s="37" t="s">
        <v>152</v>
      </c>
      <c r="P398" s="41">
        <v>50000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8000000</v>
      </c>
      <c r="Y398" s="50">
        <f>IF(NOTA[[#This Row],[JUMLAH]]="","",NOTA[[#This Row],[JUMLAH]]*NOTA[[#This Row],[DISC 1]])</f>
        <v>1000000</v>
      </c>
      <c r="Z398" s="50">
        <f>IF(NOTA[[#This Row],[JUMLAH]]="","",(NOTA[[#This Row],[JUMLAH]]-NOTA[[#This Row],[DISC 1-]])*NOTA[[#This Row],[DISC 2]])</f>
        <v>700000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1700000</v>
      </c>
      <c r="AC398" s="50">
        <f>IF(NOTA[[#This Row],[JUMLAH]]="","",NOTA[[#This Row],[JUMLAH]]-NOTA[[#This Row],[DISC]])</f>
        <v>6300000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398" s="50">
        <f>IF(OR(NOTA[[#This Row],[QTY]]="",NOTA[[#This Row],[HARGA SATUAN]]="",),"",NOTA[[#This Row],[QTY]]*NOTA[[#This Row],[HARGA SATUAN]])</f>
        <v>8000000</v>
      </c>
      <c r="AI398" s="39">
        <f ca="1">IF(NOTA[ID_H]="","",INDEX(NOTA[TANGGAL],MATCH(,INDIRECT(ADDRESS(ROW(NOTA[TANGGAL]),COLUMN(NOTA[TANGGAL]))&amp;":"&amp;ADDRESS(ROW(),COLUMN(NOTA[TANGGAL]))),-1)))</f>
        <v>45276</v>
      </c>
      <c r="AJ398" s="41" t="str">
        <f ca="1">IF(NOTA[[#This Row],[NAMA BARANG]]="","",INDEX(NOTA[SUPPLIER],MATCH(,INDIRECT(ADDRESS(ROW(NOTA[ID]),COLUMN(NOTA[ID]))&amp;":"&amp;ADDRESS(ROW(),COLUMN(NOTA[ID]))),-1)))</f>
        <v>KALINDO SUKSES</v>
      </c>
      <c r="AK398" s="41" t="str">
        <f ca="1">IF(NOTA[[#This Row],[ID_H]]="","",IF(NOTA[[#This Row],[FAKTUR]]="",INDIRECT(ADDRESS(ROW()-1,COLUMN())),NOTA[[#This Row],[FAKTUR]]))</f>
        <v>ARTO MORO</v>
      </c>
      <c r="AL398" s="38">
        <f ca="1">IF(NOTA[[#This Row],[ID]]="","",COUNTIF(NOTA[ID_H],NOTA[[#This Row],[ID_H]]))</f>
        <v>7</v>
      </c>
      <c r="AM398" s="38">
        <f>IF(NOTA[[#This Row],[TGL.NOTA]]="",IF(NOTA[[#This Row],[SUPPLIER_H]]="","",AM397),MONTH(NOTA[[#This Row],[TGL.NOTA]]))</f>
        <v>12</v>
      </c>
      <c r="AN398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MOROSN2312299245273calculatorjoykocc23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580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80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80</v>
      </c>
      <c r="E399" s="46"/>
      <c r="F399" s="37"/>
      <c r="G399" s="37"/>
      <c r="H399" s="47"/>
      <c r="I399" s="37"/>
      <c r="J399" s="39"/>
      <c r="K399" s="37"/>
      <c r="L399" s="37" t="s">
        <v>469</v>
      </c>
      <c r="M399" s="40"/>
      <c r="N399" s="38">
        <v>53</v>
      </c>
      <c r="O399" s="37" t="s">
        <v>152</v>
      </c>
      <c r="P399" s="41">
        <v>50000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2650000</v>
      </c>
      <c r="Y399" s="50">
        <f>IF(NOTA[[#This Row],[JUMLAH]]="","",NOTA[[#This Row],[JUMLAH]]*NOTA[[#This Row],[DISC 1]])</f>
        <v>331250</v>
      </c>
      <c r="Z399" s="50">
        <f>IF(NOTA[[#This Row],[JUMLAH]]="","",(NOTA[[#This Row],[JUMLAH]]-NOTA[[#This Row],[DISC 1-]])*NOTA[[#This Row],[DISC 2]])</f>
        <v>231875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563125</v>
      </c>
      <c r="AC399" s="50">
        <f>IF(NOTA[[#This Row],[JUMLAH]]="","",NOTA[[#This Row],[JUMLAH]]-NOTA[[#This Row],[DISC]])</f>
        <v>2086875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399" s="50">
        <f>IF(OR(NOTA[[#This Row],[QTY]]="",NOTA[[#This Row],[HARGA SATUAN]]="",),"",NOTA[[#This Row],[QTY]]*NOTA[[#This Row],[HARGA SATUAN]])</f>
        <v>2650000</v>
      </c>
      <c r="AI399" s="39">
        <f ca="1">IF(NOTA[ID_H]="","",INDEX(NOTA[TANGGAL],MATCH(,INDIRECT(ADDRESS(ROW(NOTA[TANGGAL]),COLUMN(NOTA[TANGGAL]))&amp;":"&amp;ADDRESS(ROW(),COLUMN(NOTA[TANGGAL]))),-1)))</f>
        <v>45276</v>
      </c>
      <c r="AJ399" s="41" t="str">
        <f ca="1">IF(NOTA[[#This Row],[NAMA BARANG]]="","",INDEX(NOTA[SUPPLIER],MATCH(,INDIRECT(ADDRESS(ROW(NOTA[ID]),COLUMN(NOTA[ID]))&amp;":"&amp;ADDRESS(ROW(),COLUMN(NOTA[ID]))),-1)))</f>
        <v>KALINDO SUKSES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12</v>
      </c>
      <c r="AN399" s="38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calculatorjoykocc23coblack26500000.1250.1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calculatorjoykocc23coblack500000.1250.1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582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80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calculatorjoykocc23coblack80pcsartomoro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80</v>
      </c>
      <c r="E400" s="46"/>
      <c r="F400" s="37"/>
      <c r="G400" s="37"/>
      <c r="H400" s="47"/>
      <c r="I400" s="37"/>
      <c r="J400" s="39"/>
      <c r="K400" s="37"/>
      <c r="L400" s="37" t="s">
        <v>470</v>
      </c>
      <c r="M400" s="40"/>
      <c r="N400" s="38">
        <v>53</v>
      </c>
      <c r="O400" s="37" t="s">
        <v>152</v>
      </c>
      <c r="P400" s="41">
        <v>50000</v>
      </c>
      <c r="Q400" s="42"/>
      <c r="R400" s="48"/>
      <c r="S400" s="49">
        <v>0.125</v>
      </c>
      <c r="T400" s="44">
        <v>0.1</v>
      </c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2650000</v>
      </c>
      <c r="Y400" s="50">
        <f>IF(NOTA[[#This Row],[JUMLAH]]="","",NOTA[[#This Row],[JUMLAH]]*NOTA[[#This Row],[DISC 1]])</f>
        <v>331250</v>
      </c>
      <c r="Z400" s="50">
        <f>IF(NOTA[[#This Row],[JUMLAH]]="","",(NOTA[[#This Row],[JUMLAH]]-NOTA[[#This Row],[DISC 1-]])*NOTA[[#This Row],[DISC 2]])</f>
        <v>231875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563125</v>
      </c>
      <c r="AC400" s="50">
        <f>IF(NOTA[[#This Row],[JUMLAH]]="","",NOTA[[#This Row],[JUMLAH]]-NOTA[[#This Row],[DISC]])</f>
        <v>2086875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400" s="50">
        <f>IF(OR(NOTA[[#This Row],[QTY]]="",NOTA[[#This Row],[HARGA SATUAN]]="",),"",NOTA[[#This Row],[QTY]]*NOTA[[#This Row],[HARGA SATUAN]])</f>
        <v>2650000</v>
      </c>
      <c r="AI400" s="39">
        <f ca="1">IF(NOTA[ID_H]="","",INDEX(NOTA[TANGGAL],MATCH(,INDIRECT(ADDRESS(ROW(NOTA[TANGGAL]),COLUMN(NOTA[TANGGAL]))&amp;":"&amp;ADDRESS(ROW(),COLUMN(NOTA[TANGGAL]))),-1)))</f>
        <v>45276</v>
      </c>
      <c r="AJ400" s="41" t="str">
        <f ca="1">IF(NOTA[[#This Row],[NAMA BARANG]]="","",INDEX(NOTA[SUPPLIER],MATCH(,INDIRECT(ADDRESS(ROW(NOTA[ID]),COLUMN(NOTA[ID]))&amp;":"&amp;ADDRESS(ROW(),COLUMN(NOTA[ID]))),-1)))</f>
        <v>KALINDO SUKSES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12</v>
      </c>
      <c r="AN400" s="38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calculatorjoykocc23cogreen26500000.1250.1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calculatorjoykocc23cogreen500000.1250.1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583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80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calculatorjoykocc23cogreen80pcsartomoro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80</v>
      </c>
      <c r="E401" s="46"/>
      <c r="F401" s="37"/>
      <c r="G401" s="37"/>
      <c r="H401" s="47"/>
      <c r="I401" s="37"/>
      <c r="J401" s="39"/>
      <c r="K401" s="37"/>
      <c r="L401" s="37" t="s">
        <v>471</v>
      </c>
      <c r="M401" s="40"/>
      <c r="N401" s="38">
        <v>54</v>
      </c>
      <c r="O401" s="37" t="s">
        <v>152</v>
      </c>
      <c r="P401" s="41">
        <v>50000</v>
      </c>
      <c r="Q401" s="42"/>
      <c r="R401" s="48"/>
      <c r="S401" s="49">
        <v>0.125</v>
      </c>
      <c r="T401" s="44">
        <v>0.1</v>
      </c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2700000</v>
      </c>
      <c r="Y401" s="50">
        <f>IF(NOTA[[#This Row],[JUMLAH]]="","",NOTA[[#This Row],[JUMLAH]]*NOTA[[#This Row],[DISC 1]])</f>
        <v>337500</v>
      </c>
      <c r="Z401" s="50">
        <f>IF(NOTA[[#This Row],[JUMLAH]]="","",(NOTA[[#This Row],[JUMLAH]]-NOTA[[#This Row],[DISC 1-]])*NOTA[[#This Row],[DISC 2]])</f>
        <v>236250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573750</v>
      </c>
      <c r="AC401" s="50">
        <f>IF(NOTA[[#This Row],[JUMLAH]]="","",NOTA[[#This Row],[JUMLAH]]-NOTA[[#This Row],[DISC]])</f>
        <v>2126250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1" s="50">
        <f>IF(OR(NOTA[[#This Row],[QTY]]="",NOTA[[#This Row],[HARGA SATUAN]]="",),"",NOTA[[#This Row],[QTY]]*NOTA[[#This Row],[HARGA SATUAN]])</f>
        <v>2700000</v>
      </c>
      <c r="AI401" s="39">
        <f ca="1">IF(NOTA[ID_H]="","",INDEX(NOTA[TANGGAL],MATCH(,INDIRECT(ADDRESS(ROW(NOTA[TANGGAL]),COLUMN(NOTA[TANGGAL]))&amp;":"&amp;ADDRESS(ROW(),COLUMN(NOTA[TANGGAL]))),-1)))</f>
        <v>45276</v>
      </c>
      <c r="AJ401" s="41" t="str">
        <f ca="1">IF(NOTA[[#This Row],[NAMA BARANG]]="","",INDEX(NOTA[SUPPLIER],MATCH(,INDIRECT(ADDRESS(ROW(NOTA[ID]),COLUMN(NOTA[ID]))&amp;":"&amp;ADDRESS(ROW(),COLUMN(NOTA[ID]))),-1)))</f>
        <v>KALINDO SUKSES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12</v>
      </c>
      <c r="AN401" s="38" t="str">
        <f>LOWER(SUBSTITUTE(SUBSTITUTE(SUBSTITUTE(SUBSTITUTE(SUBSTITUTE(SUBSTITUTE(SUBSTITUTE(SUBSTITUTE(SUBSTITUTE(NOTA[NAMA BARANG]," ",),".",""),"-",""),"(",""),")",""),",",""),"/",""),"""",""),"+",""))</f>
        <v>calculatorjoykocc23coorange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calculatorjoykocc23coorange27000000.1250.1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calculatorjoykocc23coorange500000.1250.1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581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80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calculatorjoykocc23coorange80pcsartomoro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80</v>
      </c>
      <c r="E402" s="46"/>
      <c r="F402" s="37"/>
      <c r="G402" s="37"/>
      <c r="H402" s="47"/>
      <c r="I402" s="37"/>
      <c r="J402" s="39"/>
      <c r="K402" s="37"/>
      <c r="L402" s="37" t="s">
        <v>472</v>
      </c>
      <c r="M402" s="40">
        <v>2</v>
      </c>
      <c r="N402" s="38">
        <v>160</v>
      </c>
      <c r="O402" s="37" t="s">
        <v>152</v>
      </c>
      <c r="P402" s="41">
        <v>67000</v>
      </c>
      <c r="Q402" s="42"/>
      <c r="R402" s="48"/>
      <c r="S402" s="49">
        <v>0.125</v>
      </c>
      <c r="T402" s="44">
        <v>0.1</v>
      </c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10720000</v>
      </c>
      <c r="Y402" s="50">
        <f>IF(NOTA[[#This Row],[JUMLAH]]="","",NOTA[[#This Row],[JUMLAH]]*NOTA[[#This Row],[DISC 1]])</f>
        <v>1340000</v>
      </c>
      <c r="Z402" s="50">
        <f>IF(NOTA[[#This Row],[JUMLAH]]="","",(NOTA[[#This Row],[JUMLAH]]-NOTA[[#This Row],[DISC 1-]])*NOTA[[#This Row],[DISC 2]])</f>
        <v>938000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2278000</v>
      </c>
      <c r="AC402" s="50">
        <f>IF(NOTA[[#This Row],[JUMLAH]]="","",NOTA[[#This Row],[JUMLAH]]-NOTA[[#This Row],[DISC]])</f>
        <v>8442000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2" s="50">
        <f>IF(OR(NOTA[[#This Row],[QTY]]="",NOTA[[#This Row],[HARGA SATUAN]]="",),"",NOTA[[#This Row],[QTY]]*NOTA[[#This Row],[HARGA SATUAN]])</f>
        <v>10720000</v>
      </c>
      <c r="AI402" s="39">
        <f ca="1">IF(NOTA[ID_H]="","",INDEX(NOTA[TANGGAL],MATCH(,INDIRECT(ADDRESS(ROW(NOTA[TANGGAL]),COLUMN(NOTA[TANGGAL]))&amp;":"&amp;ADDRESS(ROW(),COLUMN(NOTA[TANGGAL]))),-1)))</f>
        <v>45276</v>
      </c>
      <c r="AJ402" s="41" t="str">
        <f ca="1">IF(NOTA[[#This Row],[NAMA BARANG]]="","",INDEX(NOTA[SUPPLIER],MATCH(,INDIRECT(ADDRESS(ROW(NOTA[ID]),COLUMN(NOTA[ID]))&amp;":"&amp;ADDRESS(ROW(),COLUMN(NOTA[ID]))),-1)))</f>
        <v>KALINDO SUKSES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12</v>
      </c>
      <c r="AN402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584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80 PCS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/>
      <c r="G403" s="37"/>
      <c r="H403" s="47"/>
      <c r="I403" s="37"/>
      <c r="J403" s="39"/>
      <c r="K403" s="37"/>
      <c r="L403" s="37" t="s">
        <v>473</v>
      </c>
      <c r="M403" s="40">
        <v>1</v>
      </c>
      <c r="N403" s="38">
        <v>80</v>
      </c>
      <c r="O403" s="37" t="s">
        <v>152</v>
      </c>
      <c r="P403" s="41">
        <v>67000</v>
      </c>
      <c r="Q403" s="42"/>
      <c r="R403" s="48"/>
      <c r="S403" s="49">
        <v>0.125</v>
      </c>
      <c r="T403" s="44">
        <v>0.1</v>
      </c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5360000</v>
      </c>
      <c r="Y403" s="50">
        <f>IF(NOTA[[#This Row],[JUMLAH]]="","",NOTA[[#This Row],[JUMLAH]]*NOTA[[#This Row],[DISC 1]])</f>
        <v>670000</v>
      </c>
      <c r="Z403" s="50">
        <f>IF(NOTA[[#This Row],[JUMLAH]]="","",(NOTA[[#This Row],[JUMLAH]]-NOTA[[#This Row],[DISC 1-]])*NOTA[[#This Row],[DISC 2]])</f>
        <v>469000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1139000</v>
      </c>
      <c r="AC403" s="50">
        <f>IF(NOTA[[#This Row],[JUMLAH]]="","",NOTA[[#This Row],[JUMLAH]]-NOTA[[#This Row],[DISC]])</f>
        <v>4221000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3" s="50">
        <f>IF(OR(NOTA[[#This Row],[QTY]]="",NOTA[[#This Row],[HARGA SATUAN]]="",),"",NOTA[[#This Row],[QTY]]*NOTA[[#This Row],[HARGA SATUAN]])</f>
        <v>5360000</v>
      </c>
      <c r="AI403" s="39">
        <f ca="1">IF(NOTA[ID_H]="","",INDEX(NOTA[TANGGAL],MATCH(,INDIRECT(ADDRESS(ROW(NOTA[TANGGAL]),COLUMN(NOTA[TANGGAL]))&amp;":"&amp;ADDRESS(ROW(),COLUMN(NOTA[TANGGAL]))),-1)))</f>
        <v>45276</v>
      </c>
      <c r="AJ403" s="41" t="str">
        <f ca="1">IF(NOTA[[#This Row],[NAMA BARANG]]="","",INDEX(NOTA[SUPPLIER],MATCH(,INDIRECT(ADDRESS(ROW(NOTA[ID]),COLUMN(NOTA[ID]))&amp;":"&amp;ADDRESS(ROW(),COLUMN(NOTA[ID]))),-1)))</f>
        <v>KALINDO SUKSES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12</v>
      </c>
      <c r="AN403" s="38" t="str">
        <f>LOWER(SUBSTITUTE(SUBSTITUTE(SUBSTITUTE(SUBSTITUTE(SUBSTITUTE(SUBSTITUTE(SUBSTITUTE(SUBSTITUTE(SUBSTITUTE(NOTA[NAMA BARANG]," ",),".",""),"-",""),"(",""),")",""),",",""),"/",""),"""",""),"+",""))</f>
        <v>calculatorjoykocc25coblue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calculatorjoykocc25coblue53600000.1250.1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calculatorjoykocc25coblue53600000.1250.1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585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calculatorjoykocc25coblue80pcsartomoro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/>
      <c r="L404" s="37" t="s">
        <v>474</v>
      </c>
      <c r="M404" s="40">
        <v>1</v>
      </c>
      <c r="N404" s="38">
        <v>80</v>
      </c>
      <c r="O404" s="37" t="s">
        <v>152</v>
      </c>
      <c r="P404" s="41">
        <v>67000</v>
      </c>
      <c r="Q404" s="42"/>
      <c r="R404" s="48"/>
      <c r="S404" s="49">
        <v>0.125</v>
      </c>
      <c r="T404" s="44">
        <v>0.1</v>
      </c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5360000</v>
      </c>
      <c r="Y404" s="50">
        <f>IF(NOTA[[#This Row],[JUMLAH]]="","",NOTA[[#This Row],[JUMLAH]]*NOTA[[#This Row],[DISC 1]])</f>
        <v>670000</v>
      </c>
      <c r="Z404" s="50">
        <f>IF(NOTA[[#This Row],[JUMLAH]]="","",(NOTA[[#This Row],[JUMLAH]]-NOTA[[#This Row],[DISC 1-]])*NOTA[[#This Row],[DISC 2]])</f>
        <v>469000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1139000</v>
      </c>
      <c r="AC404" s="50">
        <f>IF(NOTA[[#This Row],[JUMLAH]]="","",NOTA[[#This Row],[JUMLAH]]-NOTA[[#This Row],[DISC]])</f>
        <v>4221000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7956000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29484000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4" s="50">
        <f>IF(OR(NOTA[[#This Row],[QTY]]="",NOTA[[#This Row],[HARGA SATUAN]]="",),"",NOTA[[#This Row],[QTY]]*NOTA[[#This Row],[HARGA SATUAN]])</f>
        <v>5360000</v>
      </c>
      <c r="AI404" s="39">
        <f ca="1">IF(NOTA[ID_H]="","",INDEX(NOTA[TANGGAL],MATCH(,INDIRECT(ADDRESS(ROW(NOTA[TANGGAL]),COLUMN(NOTA[TANGGAL]))&amp;":"&amp;ADDRESS(ROW(),COLUMN(NOTA[TANGGAL]))),-1)))</f>
        <v>45276</v>
      </c>
      <c r="AJ404" s="41" t="str">
        <f ca="1">IF(NOTA[[#This Row],[NAMA BARANG]]="","",INDEX(NOTA[SUPPLIER],MATCH(,INDIRECT(ADDRESS(ROW(NOTA[ID]),COLUMN(NOTA[ID]))&amp;":"&amp;ADDRESS(ROW(),COLUMN(NOTA[ID]))),-1)))</f>
        <v>KALINDO SUKSES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12</v>
      </c>
      <c r="AN404" s="38" t="str">
        <f>LOWER(SUBSTITUTE(SUBSTITUTE(SUBSTITUTE(SUBSTITUTE(SUBSTITUTE(SUBSTITUTE(SUBSTITUTE(SUBSTITUTE(SUBSTITUTE(NOTA[NAMA BARANG]," ",),".",""),"-",""),"(",""),")",""),",",""),"/",""),"""",""),"+",""))</f>
        <v>calculatorjoykocc25copink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calculatorjoykocc25copink53600000.1250.1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calculatorjoykocc25copink53600000.1250.1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586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calculatorjoykocc25copink80pcsartomoro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ATA_1612_731-8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81</v>
      </c>
      <c r="E406" s="46">
        <v>45276</v>
      </c>
      <c r="F406" s="37" t="s">
        <v>24</v>
      </c>
      <c r="G406" s="37" t="s">
        <v>23</v>
      </c>
      <c r="H406" s="47" t="s">
        <v>475</v>
      </c>
      <c r="I406" s="37"/>
      <c r="J406" s="39">
        <v>45273</v>
      </c>
      <c r="K406" s="37"/>
      <c r="L406" s="37" t="s">
        <v>476</v>
      </c>
      <c r="M406" s="40">
        <v>5</v>
      </c>
      <c r="N406" s="38">
        <v>3600</v>
      </c>
      <c r="O406" s="37" t="s">
        <v>152</v>
      </c>
      <c r="P406" s="41">
        <v>4300</v>
      </c>
      <c r="Q406" s="42"/>
      <c r="R406" s="48"/>
      <c r="S406" s="49">
        <v>0.125</v>
      </c>
      <c r="T406" s="44">
        <v>0.05</v>
      </c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15480000</v>
      </c>
      <c r="Y406" s="50">
        <f>IF(NOTA[[#This Row],[JUMLAH]]="","",NOTA[[#This Row],[JUMLAH]]*NOTA[[#This Row],[DISC 1]])</f>
        <v>1935000</v>
      </c>
      <c r="Z406" s="50">
        <f>IF(NOTA[[#This Row],[JUMLAH]]="","",(NOTA[[#This Row],[JUMLAH]]-NOTA[[#This Row],[DISC 1-]])*NOTA[[#This Row],[DISC 2]])</f>
        <v>677250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2612250</v>
      </c>
      <c r="AC406" s="50">
        <f>IF(NOTA[[#This Row],[JUMLAH]]="","",NOTA[[#This Row],[JUMLAH]]-NOTA[[#This Row],[DISC]])</f>
        <v>12867750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06" s="50">
        <f>IF(OR(NOTA[[#This Row],[QTY]]="",NOTA[[#This Row],[HARGA SATUAN]]="",),"",NOTA[[#This Row],[QTY]]*NOTA[[#This Row],[HARGA SATUAN]])</f>
        <v>15480000</v>
      </c>
      <c r="AI406" s="39">
        <f ca="1">IF(NOTA[ID_H]="","",INDEX(NOTA[TANGGAL],MATCH(,INDIRECT(ADDRESS(ROW(NOTA[TANGGAL]),COLUMN(NOTA[TANGGAL]))&amp;":"&amp;ADDRESS(ROW(),COLUMN(NOTA[TANGGAL]))),-1)))</f>
        <v>45276</v>
      </c>
      <c r="AJ406" s="41" t="str">
        <f ca="1">IF(NOTA[[#This Row],[NAMA BARANG]]="","",INDEX(NOTA[SUPPLIER],MATCH(,INDIRECT(ADDRESS(ROW(NOTA[ID]),COLUMN(NOTA[ID]))&amp;":"&amp;ADDRESS(ROW(),COLUMN(NOTA[ID]))),-1)))</f>
        <v>ATALI MAKMUR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8</v>
      </c>
      <c r="AM406" s="38">
        <f>IF(NOTA[[#This Row],[TGL.NOTA]]="",IF(NOTA[[#This Row],[SUPPLIER_H]]="","",AM405),MONTH(NOTA[[#This Row],[TGL.NOTA]]))</f>
        <v>12</v>
      </c>
      <c r="AN40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MOROSA23122173145273correctiontapect522jk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732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60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81</v>
      </c>
      <c r="E407" s="46"/>
      <c r="F407" s="37"/>
      <c r="G407" s="37"/>
      <c r="H407" s="47"/>
      <c r="I407" s="37"/>
      <c r="J407" s="39"/>
      <c r="K407" s="37"/>
      <c r="L407" s="37" t="s">
        <v>477</v>
      </c>
      <c r="M407" s="40">
        <v>1</v>
      </c>
      <c r="N407" s="38">
        <v>24</v>
      </c>
      <c r="O407" s="37" t="s">
        <v>478</v>
      </c>
      <c r="P407" s="41">
        <v>46500</v>
      </c>
      <c r="Q407" s="42"/>
      <c r="R407" s="48"/>
      <c r="S407" s="49">
        <v>0.125</v>
      </c>
      <c r="T407" s="44">
        <v>0.1</v>
      </c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1116000</v>
      </c>
      <c r="Y407" s="50">
        <f>IF(NOTA[[#This Row],[JUMLAH]]="","",NOTA[[#This Row],[JUMLAH]]*NOTA[[#This Row],[DISC 1]])</f>
        <v>139500</v>
      </c>
      <c r="Z407" s="50">
        <f>IF(NOTA[[#This Row],[JUMLAH]]="","",(NOTA[[#This Row],[JUMLAH]]-NOTA[[#This Row],[DISC 1-]])*NOTA[[#This Row],[DISC 2]])</f>
        <v>97650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237150</v>
      </c>
      <c r="AC407" s="50">
        <f>IF(NOTA[[#This Row],[JUMLAH]]="","",NOTA[[#This Row],[JUMLAH]]-NOTA[[#This Row],[DISC]])</f>
        <v>878850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1116000</v>
      </c>
      <c r="AH407" s="50">
        <f>IF(OR(NOTA[[#This Row],[QTY]]="",NOTA[[#This Row],[HARGA SATUAN]]="",),"",NOTA[[#This Row],[QTY]]*NOTA[[#This Row],[HARGA SATUAN]])</f>
        <v>1116000</v>
      </c>
      <c r="AI407" s="39">
        <f ca="1">IF(NOTA[ID_H]="","",INDEX(NOTA[TANGGAL],MATCH(,INDIRECT(ADDRESS(ROW(NOTA[TANGGAL]),COLUMN(NOTA[TANGGAL]))&amp;":"&amp;ADDRESS(ROW(),COLUMN(NOTA[TANGGAL]))),-1)))</f>
        <v>45276</v>
      </c>
      <c r="AJ407" s="41" t="str">
        <f ca="1">IF(NOTA[[#This Row],[NAMA BARANG]]="","",INDEX(NOTA[SUPPLIER],MATCH(,INDIRECT(ADDRESS(ROW(NOTA[ID]),COLUMN(NOTA[ID]))&amp;":"&amp;ADDRESS(ROW(),COLUMN(NOTA[ID]))),-1)))</f>
        <v>ATALI MAKMUR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12</v>
      </c>
      <c r="AN407" s="38" t="str">
        <f>LOWER(SUBSTITUTE(SUBSTITUTE(SUBSTITUTE(SUBSTITUTE(SUBSTITUTE(SUBSTITUTE(SUBSTITUTE(SUBSTITUTE(SUBSTITUTE(NOTA[NAMA BARANG]," ",),".",""),"-",""),"(",""),")",""),",",""),"/",""),"""",""),"+",""))</f>
        <v>sharpenerb88jk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sharpenerb88jk11160000.1250.1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sharpenerb88jk11160000.1250.1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2818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24 DRM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sharpenerb88jk24drmartomoro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/>
      <c r="G408" s="37"/>
      <c r="H408" s="47"/>
      <c r="I408" s="37"/>
      <c r="J408" s="39"/>
      <c r="K408" s="37"/>
      <c r="L408" s="37" t="s">
        <v>479</v>
      </c>
      <c r="M408" s="40">
        <v>1</v>
      </c>
      <c r="N408" s="38">
        <v>60</v>
      </c>
      <c r="O408" s="37" t="s">
        <v>175</v>
      </c>
      <c r="P408" s="41">
        <v>19200</v>
      </c>
      <c r="Q408" s="42"/>
      <c r="R408" s="48"/>
      <c r="S408" s="49">
        <v>0.125</v>
      </c>
      <c r="T408" s="44">
        <v>0.1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1152000</v>
      </c>
      <c r="Y408" s="50">
        <f>IF(NOTA[[#This Row],[JUMLAH]]="","",NOTA[[#This Row],[JUMLAH]]*NOTA[[#This Row],[DISC 1]])</f>
        <v>144000</v>
      </c>
      <c r="Z408" s="50">
        <f>IF(NOTA[[#This Row],[JUMLAH]]="","",(NOTA[[#This Row],[JUMLAH]]-NOTA[[#This Row],[DISC 1-]])*NOTA[[#This Row],[DISC 2]])</f>
        <v>100800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244800</v>
      </c>
      <c r="AC408" s="50">
        <f>IF(NOTA[[#This Row],[JUMLAH]]="","",NOTA[[#This Row],[JUMLAH]]-NOTA[[#This Row],[DISC]])</f>
        <v>907200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08" s="50">
        <f>IF(OR(NOTA[[#This Row],[QTY]]="",NOTA[[#This Row],[HARGA SATUAN]]="",),"",NOTA[[#This Row],[QTY]]*NOTA[[#This Row],[HARGA SATUAN]])</f>
        <v>1152000</v>
      </c>
      <c r="AI408" s="39">
        <f ca="1">IF(NOTA[ID_H]="","",INDEX(NOTA[TANGGAL],MATCH(,INDIRECT(ADDRESS(ROW(NOTA[TANGGAL]),COLUMN(NOTA[TANGGAL]))&amp;":"&amp;ADDRESS(ROW(),COLUMN(NOTA[TANGGAL]))),-1)))</f>
        <v>45276</v>
      </c>
      <c r="AJ408" s="41" t="str">
        <f ca="1">IF(NOTA[[#This Row],[NAMA BARANG]]="","",INDEX(NOTA[SUPPLIER],MATCH(,INDIRECT(ADDRESS(ROW(NOTA[ID]),COLUMN(NOTA[ID]))&amp;":"&amp;ADDRESS(ROW(),COLUMN(NOTA[ID]))),-1)))</f>
        <v>ATALI MAKMUR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12</v>
      </c>
      <c r="AN408" s="38" t="str">
        <f>LOWER(SUBSTITUTE(SUBSTITUTE(SUBSTITUTE(SUBSTITUTE(SUBSTITUTE(SUBSTITUTE(SUBSTITUTE(SUBSTITUTE(SUBSTITUTE(NOTA[NAMA BARANG]," ",),".",""),"-",""),"(",""),")",""),",",""),"/",""),"""",""),"+",""))</f>
        <v>sharpenerb129jk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sharpenerb129jk11520000.1250.1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sharpenerb129jk11520000.1250.1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2811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60 BOX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sharpenerb129jk60boxartomoro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/>
      <c r="L409" s="37" t="s">
        <v>480</v>
      </c>
      <c r="M409" s="40">
        <v>5</v>
      </c>
      <c r="N409" s="38">
        <v>1200</v>
      </c>
      <c r="O409" s="37" t="s">
        <v>152</v>
      </c>
      <c r="P409" s="41">
        <v>7000</v>
      </c>
      <c r="Q409" s="42"/>
      <c r="R409" s="48"/>
      <c r="S409" s="49">
        <v>0.125</v>
      </c>
      <c r="T409" s="44">
        <v>0.1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8400000</v>
      </c>
      <c r="Y409" s="50">
        <f>IF(NOTA[[#This Row],[JUMLAH]]="","",NOTA[[#This Row],[JUMLAH]]*NOTA[[#This Row],[DISC 1]])</f>
        <v>1050000</v>
      </c>
      <c r="Z409" s="50">
        <f>IF(NOTA[[#This Row],[JUMLAH]]="","",(NOTA[[#This Row],[JUMLAH]]-NOTA[[#This Row],[DISC 1-]])*NOTA[[#This Row],[DISC 2]])</f>
        <v>735000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1785000</v>
      </c>
      <c r="AC409" s="50">
        <f>IF(NOTA[[#This Row],[JUMLAH]]="","",NOTA[[#This Row],[JUMLAH]]-NOTA[[#This Row],[DISC]])</f>
        <v>6615000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09" s="50">
        <f>IF(OR(NOTA[[#This Row],[QTY]]="",NOTA[[#This Row],[HARGA SATUAN]]="",),"",NOTA[[#This Row],[QTY]]*NOTA[[#This Row],[HARGA SATUAN]])</f>
        <v>8400000</v>
      </c>
      <c r="AI409" s="39">
        <f ca="1">IF(NOTA[ID_H]="","",INDEX(NOTA[TANGGAL],MATCH(,INDIRECT(ADDRESS(ROW(NOTA[TANGGAL]),COLUMN(NOTA[TANGGAL]))&amp;":"&amp;ADDRESS(ROW(),COLUMN(NOTA[TANGGAL]))),-1)))</f>
        <v>45276</v>
      </c>
      <c r="AJ409" s="41" t="str">
        <f ca="1">IF(NOTA[[#This Row],[NAMA BARANG]]="","",INDEX(NOTA[SUPPLIER],MATCH(,INDIRECT(ADDRESS(ROW(NOTA[ID]),COLUMN(NOTA[ID]))&amp;":"&amp;ADDRESS(ROW(),COLUMN(NOTA[ID]))),-1)))</f>
        <v>ATALI MAKMUR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12</v>
      </c>
      <c r="AN40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2860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/>
      <c r="L410" s="37" t="s">
        <v>481</v>
      </c>
      <c r="M410" s="40">
        <v>3</v>
      </c>
      <c r="N410" s="38">
        <v>432</v>
      </c>
      <c r="O410" s="37" t="s">
        <v>160</v>
      </c>
      <c r="P410" s="41">
        <v>23900</v>
      </c>
      <c r="Q410" s="42"/>
      <c r="R410" s="48"/>
      <c r="S410" s="49">
        <v>0.125</v>
      </c>
      <c r="T410" s="44">
        <v>0.1</v>
      </c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10324800</v>
      </c>
      <c r="Y410" s="50">
        <f>IF(NOTA[[#This Row],[JUMLAH]]="","",NOTA[[#This Row],[JUMLAH]]*NOTA[[#This Row],[DISC 1]])</f>
        <v>1290600</v>
      </c>
      <c r="Z410" s="50">
        <f>IF(NOTA[[#This Row],[JUMLAH]]="","",(NOTA[[#This Row],[JUMLAH]]-NOTA[[#This Row],[DISC 1-]])*NOTA[[#This Row],[DISC 2]])</f>
        <v>903420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2194020</v>
      </c>
      <c r="AC410" s="50">
        <f>IF(NOTA[[#This Row],[JUMLAH]]="","",NOTA[[#This Row],[JUMLAH]]-NOTA[[#This Row],[DISC]])</f>
        <v>8130780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10" s="50">
        <f>IF(OR(NOTA[[#This Row],[QTY]]="",NOTA[[#This Row],[HARGA SATUAN]]="",),"",NOTA[[#This Row],[QTY]]*NOTA[[#This Row],[HARGA SATUAN]])</f>
        <v>10324800</v>
      </c>
      <c r="AI410" s="39">
        <f ca="1">IF(NOTA[ID_H]="","",INDEX(NOTA[TANGGAL],MATCH(,INDIRECT(ADDRESS(ROW(NOTA[TANGGAL]),COLUMN(NOTA[TANGGAL]))&amp;":"&amp;ADDRESS(ROW(),COLUMN(NOTA[TANGGAL]))),-1)))</f>
        <v>45276</v>
      </c>
      <c r="AJ410" s="41" t="str">
        <f ca="1">IF(NOTA[[#This Row],[NAMA BARANG]]="","",INDEX(NOTA[SUPPLIER],MATCH(,INDIRECT(ADDRESS(ROW(NOTA[ID]),COLUMN(NOTA[ID]))&amp;":"&amp;ADDRESS(ROW(),COLUMN(NOTA[ID]))),-1)))</f>
        <v>ATALI MAKMUR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12</v>
      </c>
      <c r="AN41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771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12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/>
      <c r="L411" s="37" t="s">
        <v>178</v>
      </c>
      <c r="M411" s="40">
        <v>5</v>
      </c>
      <c r="N411" s="38">
        <v>720</v>
      </c>
      <c r="O411" s="37" t="s">
        <v>160</v>
      </c>
      <c r="P411" s="41">
        <v>11900</v>
      </c>
      <c r="Q411" s="42"/>
      <c r="R411" s="48"/>
      <c r="S411" s="49">
        <v>0.125</v>
      </c>
      <c r="T411" s="44">
        <v>0.1</v>
      </c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8568000</v>
      </c>
      <c r="Y411" s="50">
        <f>IF(NOTA[[#This Row],[JUMLAH]]="","",NOTA[[#This Row],[JUMLAH]]*NOTA[[#This Row],[DISC 1]])</f>
        <v>1071000</v>
      </c>
      <c r="Z411" s="50">
        <f>IF(NOTA[[#This Row],[JUMLAH]]="","",(NOTA[[#This Row],[JUMLAH]]-NOTA[[#This Row],[DISC 1-]])*NOTA[[#This Row],[DISC 2]])</f>
        <v>749700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1820700</v>
      </c>
      <c r="AC411" s="50">
        <f>IF(NOTA[[#This Row],[JUMLAH]]="","",NOTA[[#This Row],[JUMLAH]]-NOTA[[#This Row],[DISC]])</f>
        <v>6747300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1" s="50">
        <f>IF(OR(NOTA[[#This Row],[QTY]]="",NOTA[[#This Row],[HARGA SATUAN]]="",),"",NOTA[[#This Row],[QTY]]*NOTA[[#This Row],[HARGA SATUAN]])</f>
        <v>8568000</v>
      </c>
      <c r="AI411" s="39">
        <f ca="1">IF(NOTA[ID_H]="","",INDEX(NOTA[TANGGAL],MATCH(,INDIRECT(ADDRESS(ROW(NOTA[TANGGAL]),COLUMN(NOTA[TANGGAL]))&amp;":"&amp;ADDRESS(ROW(),COLUMN(NOTA[TANGGAL]))),-1)))</f>
        <v>45276</v>
      </c>
      <c r="AJ411" s="41" t="str">
        <f ca="1">IF(NOTA[[#This Row],[NAMA BARANG]]="","",INDEX(NOTA[SUPPLIER],MATCH(,INDIRECT(ADDRESS(ROW(NOTA[ID]),COLUMN(NOTA[ID]))&amp;":"&amp;ADDRESS(ROW(),COLUMN(NOTA[ID]))),-1)))</f>
        <v>ATALI MAKMUR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12</v>
      </c>
      <c r="AN4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2186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12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/>
      <c r="L412" s="37" t="s">
        <v>238</v>
      </c>
      <c r="M412" s="40">
        <v>5</v>
      </c>
      <c r="N412" s="38">
        <v>240</v>
      </c>
      <c r="O412" s="37" t="s">
        <v>160</v>
      </c>
      <c r="P412" s="41">
        <v>29600</v>
      </c>
      <c r="Q412" s="42"/>
      <c r="R412" s="48"/>
      <c r="S412" s="49">
        <v>0.125</v>
      </c>
      <c r="T412" s="44">
        <v>0.1</v>
      </c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7104000</v>
      </c>
      <c r="Y412" s="50">
        <f>IF(NOTA[[#This Row],[JUMLAH]]="","",NOTA[[#This Row],[JUMLAH]]*NOTA[[#This Row],[DISC 1]])</f>
        <v>888000</v>
      </c>
      <c r="Z412" s="50">
        <f>IF(NOTA[[#This Row],[JUMLAH]]="","",(NOTA[[#This Row],[JUMLAH]]-NOTA[[#This Row],[DISC 1-]])*NOTA[[#This Row],[DISC 2]])</f>
        <v>621600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1509600</v>
      </c>
      <c r="AC412" s="50">
        <f>IF(NOTA[[#This Row],[JUMLAH]]="","",NOTA[[#This Row],[JUMLAH]]-NOTA[[#This Row],[DISC]])</f>
        <v>5594400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12" s="50">
        <f>IF(OR(NOTA[[#This Row],[QTY]]="",NOTA[[#This Row],[HARGA SATUAN]]="",),"",NOTA[[#This Row],[QTY]]*NOTA[[#This Row],[HARGA SATUAN]])</f>
        <v>7104000</v>
      </c>
      <c r="AI412" s="39">
        <f ca="1">IF(NOTA[ID_H]="","",INDEX(NOTA[TANGGAL],MATCH(,INDIRECT(ADDRESS(ROW(NOTA[TANGGAL]),COLUMN(NOTA[TANGGAL]))&amp;":"&amp;ADDRESS(ROW(),COLUMN(NOTA[TANGGAL]))),-1)))</f>
        <v>45276</v>
      </c>
      <c r="AJ412" s="41" t="str">
        <f ca="1">IF(NOTA[[#This Row],[NAMA BARANG]]="","",INDEX(NOTA[SUPPLIER],MATCH(,INDIRECT(ADDRESS(ROW(NOTA[ID]),COLUMN(NOTA[ID]))&amp;":"&amp;ADDRESS(ROW(),COLUMN(NOTA[ID]))),-1)))</f>
        <v>ATALI MAKMUR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12</v>
      </c>
      <c r="AN41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2188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8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179</v>
      </c>
      <c r="M413" s="40"/>
      <c r="N413" s="38">
        <v>312</v>
      </c>
      <c r="O413" s="37" t="s">
        <v>152</v>
      </c>
      <c r="P413" s="41">
        <v>2300</v>
      </c>
      <c r="Q413" s="42"/>
      <c r="R413" s="48"/>
      <c r="S413" s="49">
        <v>0.125</v>
      </c>
      <c r="T413" s="44">
        <v>0.05</v>
      </c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717600</v>
      </c>
      <c r="Y413" s="50">
        <f>IF(NOTA[[#This Row],[JUMLAH]]="","",NOTA[[#This Row],[JUMLAH]]*NOTA[[#This Row],[DISC 1]])</f>
        <v>89700</v>
      </c>
      <c r="Z413" s="50">
        <f>IF(NOTA[[#This Row],[JUMLAH]]="","",(NOTA[[#This Row],[JUMLAH]]-NOTA[[#This Row],[DISC 1-]])*NOTA[[#This Row],[DISC 2]])</f>
        <v>31395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121095</v>
      </c>
      <c r="AC413" s="50">
        <f>IF(NOTA[[#This Row],[JUMLAH]]="","",NOTA[[#This Row],[JUMLAH]]-NOTA[[#This Row],[DISC]])</f>
        <v>596505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10524615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42337785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413" s="50">
        <f>IF(OR(NOTA[[#This Row],[QTY]]="",NOTA[[#This Row],[HARGA SATUAN]]="",),"",NOTA[[#This Row],[QTY]]*NOTA[[#This Row],[HARGA SATUAN]])</f>
        <v>717600</v>
      </c>
      <c r="AI413" s="39">
        <f ca="1">IF(NOTA[ID_H]="","",INDEX(NOTA[TANGGAL],MATCH(,INDIRECT(ADDRESS(ROW(NOTA[TANGGAL]),COLUMN(NOTA[TANGGAL]))&amp;":"&amp;ADDRESS(ROW(),COLUMN(NOTA[TANGGAL]))),-1)))</f>
        <v>45276</v>
      </c>
      <c r="AJ413" s="41" t="str">
        <f ca="1">IF(NOTA[[#This Row],[NAMA BARANG]]="","",INDEX(NOTA[SUPPLIER],MATCH(,INDIRECT(ADDRESS(ROW(NOTA[ID]),COLUMN(NOTA[ID]))&amp;":"&amp;ADDRESS(ROW(),COLUMN(NOTA[ID]))),-1)))</f>
        <v>ATALI MAKMUR</v>
      </c>
      <c r="AK413" s="41" t="str">
        <f ca="1">IF(NOTA[[#This Row],[ID_H]]="","",IF(NOTA[[#This Row],[FAKTUR]]="",INDIRECT(ADDRESS(ROW()-1,COLUMN())),NOTA[[#This Row],[FAKTUR]]))</f>
        <v>ARTO MORO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12</v>
      </c>
      <c r="AN41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3083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48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ATA_1612_786-3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82</v>
      </c>
      <c r="E415" s="46">
        <v>45276</v>
      </c>
      <c r="F415" s="37" t="s">
        <v>24</v>
      </c>
      <c r="G415" s="37" t="s">
        <v>23</v>
      </c>
      <c r="H415" s="47" t="s">
        <v>482</v>
      </c>
      <c r="I415" s="37"/>
      <c r="J415" s="39">
        <v>45273</v>
      </c>
      <c r="K415" s="37"/>
      <c r="L415" s="37" t="s">
        <v>178</v>
      </c>
      <c r="M415" s="40">
        <v>10</v>
      </c>
      <c r="N415" s="38">
        <v>1440</v>
      </c>
      <c r="O415" s="37" t="s">
        <v>160</v>
      </c>
      <c r="P415" s="41">
        <v>11900</v>
      </c>
      <c r="Q415" s="42"/>
      <c r="R415" s="48"/>
      <c r="S415" s="49">
        <v>0.125</v>
      </c>
      <c r="T415" s="44">
        <v>0.1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17136000</v>
      </c>
      <c r="Y415" s="50">
        <f>IF(NOTA[[#This Row],[JUMLAH]]="","",NOTA[[#This Row],[JUMLAH]]*NOTA[[#This Row],[DISC 1]])</f>
        <v>2142000</v>
      </c>
      <c r="Z415" s="50">
        <f>IF(NOTA[[#This Row],[JUMLAH]]="","",(NOTA[[#This Row],[JUMLAH]]-NOTA[[#This Row],[DISC 1-]])*NOTA[[#This Row],[DISC 2]])</f>
        <v>1499400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3641400</v>
      </c>
      <c r="AC415" s="50">
        <f>IF(NOTA[[#This Row],[JUMLAH]]="","",NOTA[[#This Row],[JUMLAH]]-NOTA[[#This Row],[DISC]])</f>
        <v>13494600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5" s="50">
        <f>IF(OR(NOTA[[#This Row],[QTY]]="",NOTA[[#This Row],[HARGA SATUAN]]="",),"",NOTA[[#This Row],[QTY]]*NOTA[[#This Row],[HARGA SATUAN]])</f>
        <v>17136000</v>
      </c>
      <c r="AI415" s="39">
        <f ca="1">IF(NOTA[ID_H]="","",INDEX(NOTA[TANGGAL],MATCH(,INDIRECT(ADDRESS(ROW(NOTA[TANGGAL]),COLUMN(NOTA[TANGGAL]))&amp;":"&amp;ADDRESS(ROW(),COLUMN(NOTA[TANGGAL]))),-1)))</f>
        <v>45276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>
        <f ca="1">IF(NOTA[[#This Row],[ID]]="","",COUNTIF(NOTA[ID_H],NOTA[[#This Row],[ID_H]]))</f>
        <v>3</v>
      </c>
      <c r="AM415" s="38">
        <f>IF(NOTA[[#This Row],[TGL.NOTA]]="",IF(NOTA[[#This Row],[SUPPLIER_H]]="","",AM414),MONTH(NOTA[[#This Row],[TGL.NOTA]]))</f>
        <v>12</v>
      </c>
      <c r="AN4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MOROSA23122178645273oilpastelop12sppcaseseaworldjk</v>
      </c>
      <c r="AR415" s="38" t="e">
        <f>IF(NOTA[[#This Row],[CONCAT4]]="","",_xlfn.IFNA(MATCH(NOTA[[#This Row],[CONCAT4]],[2]!RAW[CONCAT_H],0),FALSE))</f>
        <v>#REF!</v>
      </c>
      <c r="AS415" s="38">
        <f>IF(NOTA[[#This Row],[CONCAT1]]="","",MATCH(NOTA[[#This Row],[CONCAT1]],[3]!db[NB NOTA_C],0))</f>
        <v>2186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12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/>
      <c r="L416" s="37" t="s">
        <v>483</v>
      </c>
      <c r="M416" s="40">
        <v>5</v>
      </c>
      <c r="N416" s="38">
        <v>360</v>
      </c>
      <c r="O416" s="37" t="s">
        <v>160</v>
      </c>
      <c r="P416" s="41">
        <v>23000</v>
      </c>
      <c r="Q416" s="42"/>
      <c r="R416" s="48"/>
      <c r="S416" s="49">
        <v>0.125</v>
      </c>
      <c r="T416" s="44">
        <v>0.1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8280000</v>
      </c>
      <c r="Y416" s="50">
        <f>IF(NOTA[[#This Row],[JUMLAH]]="","",NOTA[[#This Row],[JUMLAH]]*NOTA[[#This Row],[DISC 1]])</f>
        <v>1035000</v>
      </c>
      <c r="Z416" s="50">
        <f>IF(NOTA[[#This Row],[JUMLAH]]="","",(NOTA[[#This Row],[JUMLAH]]-NOTA[[#This Row],[DISC 1-]])*NOTA[[#This Row],[DISC 2]])</f>
        <v>724500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1759500</v>
      </c>
      <c r="AC416" s="50">
        <f>IF(NOTA[[#This Row],[JUMLAH]]="","",NOTA[[#This Row],[JUMLAH]]-NOTA[[#This Row],[DISC]])</f>
        <v>6520500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16" s="50">
        <f>IF(OR(NOTA[[#This Row],[QTY]]="",NOTA[[#This Row],[HARGA SATUAN]]="",),"",NOTA[[#This Row],[QTY]]*NOTA[[#This Row],[HARGA SATUAN]])</f>
        <v>8280000</v>
      </c>
      <c r="AI416" s="39">
        <f ca="1">IF(NOTA[ID_H]="","",INDEX(NOTA[TANGGAL],MATCH(,INDIRECT(ADDRESS(ROW(NOTA[TANGGAL]),COLUMN(NOTA[TANGGAL]))&amp;":"&amp;ADDRESS(ROW(),COLUMN(NOTA[TANGGAL]))),-1)))</f>
        <v>45276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12</v>
      </c>
      <c r="AN41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2187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 LSN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/>
      <c r="L417" s="37" t="s">
        <v>179</v>
      </c>
      <c r="M417" s="40"/>
      <c r="N417" s="38">
        <v>360</v>
      </c>
      <c r="O417" s="37" t="s">
        <v>152</v>
      </c>
      <c r="P417" s="41">
        <v>2300</v>
      </c>
      <c r="Q417" s="42"/>
      <c r="R417" s="48"/>
      <c r="S417" s="49">
        <v>0.125</v>
      </c>
      <c r="T417" s="44">
        <v>0.05</v>
      </c>
      <c r="U417" s="44"/>
      <c r="V417" s="50">
        <v>688275</v>
      </c>
      <c r="W417" s="45"/>
      <c r="X417" s="50">
        <f>IF(NOTA[[#This Row],[HARGA/ CTN]]="",NOTA[[#This Row],[JUMLAH_H]],NOTA[[#This Row],[HARGA/ CTN]]*IF(NOTA[[#This Row],[C]]="",0,NOTA[[#This Row],[C]]))</f>
        <v>828000</v>
      </c>
      <c r="Y417" s="50">
        <f>IF(NOTA[[#This Row],[JUMLAH]]="","",NOTA[[#This Row],[JUMLAH]]*NOTA[[#This Row],[DISC 1]])</f>
        <v>103500</v>
      </c>
      <c r="Z417" s="50">
        <f>IF(NOTA[[#This Row],[JUMLAH]]="","",(NOTA[[#This Row],[JUMLAH]]-NOTA[[#This Row],[DISC 1-]])*NOTA[[#This Row],[DISC 2]])</f>
        <v>36225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139725</v>
      </c>
      <c r="AC417" s="50">
        <f>IF(NOTA[[#This Row],[JUMLAH]]="","",NOTA[[#This Row],[JUMLAH]]-NOTA[[#This Row],[DISC]])</f>
        <v>688275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6228900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20015100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H417" s="50">
        <f>IF(OR(NOTA[[#This Row],[QTY]]="",NOTA[[#This Row],[HARGA SATUAN]]="",),"",NOTA[[#This Row],[QTY]]*NOTA[[#This Row],[HARGA SATUAN]])</f>
        <v>828000</v>
      </c>
      <c r="AI417" s="39">
        <f ca="1">IF(NOTA[ID_H]="","",INDEX(NOTA[TANGGAL],MATCH(,INDIRECT(ADDRESS(ROW(NOTA[TANGGAL]),COLUMN(NOTA[TANGGAL]))&amp;":"&amp;ADDRESS(ROW(),COLUMN(NOTA[TANGGAL]))),-1)))</f>
        <v>45276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12</v>
      </c>
      <c r="AN41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whiteboardmarkerwm65blackjkbonus8280000.1250.05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3083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48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ATA_1612_756-9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45276</v>
      </c>
      <c r="F419" s="37" t="s">
        <v>24</v>
      </c>
      <c r="G419" s="37" t="s">
        <v>23</v>
      </c>
      <c r="H419" s="47" t="s">
        <v>484</v>
      </c>
      <c r="I419" s="37"/>
      <c r="J419" s="39">
        <v>45273</v>
      </c>
      <c r="K419" s="37"/>
      <c r="L419" s="37" t="s">
        <v>485</v>
      </c>
      <c r="M419" s="40">
        <v>1</v>
      </c>
      <c r="N419" s="38">
        <v>120</v>
      </c>
      <c r="O419" s="37" t="s">
        <v>152</v>
      </c>
      <c r="P419" s="41">
        <v>18700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2244000</v>
      </c>
      <c r="Y419" s="50">
        <f>IF(NOTA[[#This Row],[JUMLAH]]="","",NOTA[[#This Row],[JUMLAH]]*NOTA[[#This Row],[DISC 1]])</f>
        <v>280500</v>
      </c>
      <c r="Z419" s="50">
        <f>IF(NOTA[[#This Row],[JUMLAH]]="","",(NOTA[[#This Row],[JUMLAH]]-NOTA[[#This Row],[DISC 1-]])*NOTA[[#This Row],[DISC 2]])</f>
        <v>98175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378675</v>
      </c>
      <c r="AC419" s="50">
        <f>IF(NOTA[[#This Row],[JUMLAH]]="","",NOTA[[#This Row],[JUMLAH]]-NOTA[[#This Row],[DISC]])</f>
        <v>1865325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19" s="50">
        <f>IF(OR(NOTA[[#This Row],[QTY]]="",NOTA[[#This Row],[HARGA SATUAN]]="",),"",NOTA[[#This Row],[QTY]]*NOTA[[#This Row],[HARGA SATUAN]])</f>
        <v>2244000</v>
      </c>
      <c r="AI419" s="39">
        <f ca="1">IF(NOTA[ID_H]="","",INDEX(NOTA[TANGGAL],MATCH(,INDIRECT(ADDRESS(ROW(NOTA[TANGGAL]),COLUMN(NOTA[TANGGAL]))&amp;":"&amp;ADDRESS(ROW(),COLUMN(NOTA[TANGGAL]))),-1)))</f>
        <v>45276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9</v>
      </c>
      <c r="AM419" s="38">
        <f>IF(NOTA[[#This Row],[TGL.NOTA]]="",IF(NOTA[[#This Row],[SUPPLIER_H]]="","",AM418),MONTH(NOTA[[#This Row],[TGL.NOTA]]))</f>
        <v>12</v>
      </c>
      <c r="AN419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MOROSA23122175645273staplerhd50jk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2865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20 BOX (6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/>
      <c r="L420" s="37" t="s">
        <v>176</v>
      </c>
      <c r="M420" s="40">
        <v>1</v>
      </c>
      <c r="N420" s="38">
        <v>240</v>
      </c>
      <c r="O420" s="37" t="s">
        <v>160</v>
      </c>
      <c r="P420" s="41">
        <v>8800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2112000</v>
      </c>
      <c r="Y420" s="50">
        <f>IF(NOTA[[#This Row],[JUMLAH]]="","",NOTA[[#This Row],[JUMLAH]]*NOTA[[#This Row],[DISC 1]])</f>
        <v>264000</v>
      </c>
      <c r="Z420" s="50">
        <f>IF(NOTA[[#This Row],[JUMLAH]]="","",(NOTA[[#This Row],[JUMLAH]]-NOTA[[#This Row],[DISC 1-]])*NOTA[[#This Row],[DISC 2]])</f>
        <v>92400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356400</v>
      </c>
      <c r="AC420" s="50">
        <f>IF(NOTA[[#This Row],[JUMLAH]]="","",NOTA[[#This Row],[JUMLAH]]-NOTA[[#This Row],[DISC]])</f>
        <v>1755600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0" s="50">
        <f>IF(OR(NOTA[[#This Row],[QTY]]="",NOTA[[#This Row],[HARGA SATUAN]]="",),"",NOTA[[#This Row],[QTY]]*NOTA[[#This Row],[HARGA SATUAN]])</f>
        <v>2112000</v>
      </c>
      <c r="AI420" s="39">
        <f ca="1">IF(NOTA[ID_H]="","",INDEX(NOTA[TANGGAL],MATCH(,INDIRECT(ADDRESS(ROW(NOTA[TANGGAL]),COLUMN(NOTA[TANGGAL]))&amp;":"&amp;ADDRESS(ROW(),COLUMN(NOTA[TANGGAL]))),-1)))</f>
        <v>45276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12</v>
      </c>
      <c r="AN42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478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10 BOX (24 SET)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486</v>
      </c>
      <c r="M421" s="40">
        <v>1</v>
      </c>
      <c r="N421" s="38">
        <v>288</v>
      </c>
      <c r="O421" s="37" t="s">
        <v>152</v>
      </c>
      <c r="P421" s="41">
        <v>2150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619200</v>
      </c>
      <c r="Y421" s="50">
        <f>IF(NOTA[[#This Row],[JUMLAH]]="","",NOTA[[#This Row],[JUMLAH]]*NOTA[[#This Row],[DISC 1]])</f>
        <v>77400</v>
      </c>
      <c r="Z421" s="50">
        <f>IF(NOTA[[#This Row],[JUMLAH]]="","",(NOTA[[#This Row],[JUMLAH]]-NOTA[[#This Row],[DISC 1-]])*NOTA[[#This Row],[DISC 2]])</f>
        <v>27090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104490</v>
      </c>
      <c r="AC421" s="50">
        <f>IF(NOTA[[#This Row],[JUMLAH]]="","",NOTA[[#This Row],[JUMLAH]]-NOTA[[#This Row],[DISC]])</f>
        <v>514710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421" s="50">
        <f>IF(OR(NOTA[[#This Row],[QTY]]="",NOTA[[#This Row],[HARGA SATUAN]]="",),"",NOTA[[#This Row],[QTY]]*NOTA[[#This Row],[HARGA SATUAN]])</f>
        <v>619200</v>
      </c>
      <c r="AI421" s="39">
        <f ca="1">IF(NOTA[ID_H]="","",INDEX(NOTA[TANGGAL],MATCH(,INDIRECT(ADDRESS(ROW(NOTA[TANGGAL]),COLUMN(NOTA[TANGGAL]))&amp;":"&amp;ADDRESS(ROW(),COLUMN(NOTA[TANGGAL]))),-1)))</f>
        <v>45276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12</v>
      </c>
      <c r="AN421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1328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24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7"/>
      <c r="L422" s="37" t="s">
        <v>487</v>
      </c>
      <c r="M422" s="40">
        <v>1</v>
      </c>
      <c r="N422" s="38">
        <v>12</v>
      </c>
      <c r="O422" s="37" t="s">
        <v>182</v>
      </c>
      <c r="P422" s="41">
        <v>176400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2116800</v>
      </c>
      <c r="Y422" s="50">
        <f>IF(NOTA[[#This Row],[JUMLAH]]="","",NOTA[[#This Row],[JUMLAH]]*NOTA[[#This Row],[DISC 1]])</f>
        <v>264600</v>
      </c>
      <c r="Z422" s="50">
        <f>IF(NOTA[[#This Row],[JUMLAH]]="","",(NOTA[[#This Row],[JUMLAH]]-NOTA[[#This Row],[DISC 1-]])*NOTA[[#This Row],[DISC 2]])</f>
        <v>92610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357210</v>
      </c>
      <c r="AC422" s="50">
        <f>IF(NOTA[[#This Row],[JUMLAH]]="","",NOTA[[#This Row],[JUMLAH]]-NOTA[[#This Row],[DISC]])</f>
        <v>1759590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22" s="50">
        <f>IF(OR(NOTA[[#This Row],[QTY]]="",NOTA[[#This Row],[HARGA SATUAN]]="",),"",NOTA[[#This Row],[QTY]]*NOTA[[#This Row],[HARGA SATUAN]])</f>
        <v>2116800</v>
      </c>
      <c r="AI422" s="39">
        <f ca="1">IF(NOTA[ID_H]="","",INDEX(NOTA[TANGGAL],MATCH(,INDIRECT(ADDRESS(ROW(NOTA[TANGGAL]),COLUMN(NOTA[TANGGAL]))&amp;":"&amp;ADDRESS(ROW(),COLUMN(NOTA[TANGGAL]))),-1)))</f>
        <v>45276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12</v>
      </c>
      <c r="AN42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2489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/>
      <c r="L423" s="37" t="s">
        <v>488</v>
      </c>
      <c r="M423" s="40">
        <v>1</v>
      </c>
      <c r="N423" s="38">
        <v>24</v>
      </c>
      <c r="O423" s="37" t="s">
        <v>152</v>
      </c>
      <c r="P423" s="41">
        <v>19000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456000</v>
      </c>
      <c r="Y423" s="50">
        <f>IF(NOTA[[#This Row],[JUMLAH]]="","",NOTA[[#This Row],[JUMLAH]]*NOTA[[#This Row],[DISC 1]])</f>
        <v>57000</v>
      </c>
      <c r="Z423" s="50">
        <f>IF(NOTA[[#This Row],[JUMLAH]]="","",(NOTA[[#This Row],[JUMLAH]]-NOTA[[#This Row],[DISC 1-]])*NOTA[[#This Row],[DISC 2]])</f>
        <v>19950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76950</v>
      </c>
      <c r="AC423" s="50">
        <f>IF(NOTA[[#This Row],[JUMLAH]]="","",NOTA[[#This Row],[JUMLAH]]-NOTA[[#This Row],[DISC]])</f>
        <v>379050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23" s="50">
        <f>IF(OR(NOTA[[#This Row],[QTY]]="",NOTA[[#This Row],[HARGA SATUAN]]="",),"",NOTA[[#This Row],[QTY]]*NOTA[[#This Row],[HARGA SATUAN]])</f>
        <v>456000</v>
      </c>
      <c r="AI423" s="39">
        <f ca="1">IF(NOTA[ID_H]="","",INDEX(NOTA[TANGGAL],MATCH(,INDIRECT(ADDRESS(ROW(NOTA[TANGGAL]),COLUMN(NOTA[TANGGAL]))&amp;":"&amp;ADDRESS(ROW(),COLUMN(NOTA[TANGGAL]))),-1)))</f>
        <v>45276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12</v>
      </c>
      <c r="AN4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2931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24 PCS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/>
      <c r="L424" s="37" t="s">
        <v>403</v>
      </c>
      <c r="M424" s="40">
        <v>1</v>
      </c>
      <c r="N424" s="38">
        <v>50</v>
      </c>
      <c r="O424" s="37" t="s">
        <v>175</v>
      </c>
      <c r="P424" s="41">
        <v>34100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1705000</v>
      </c>
      <c r="Y424" s="50">
        <f>IF(NOTA[[#This Row],[JUMLAH]]="","",NOTA[[#This Row],[JUMLAH]]*NOTA[[#This Row],[DISC 1]])</f>
        <v>213125</v>
      </c>
      <c r="Z424" s="50">
        <f>IF(NOTA[[#This Row],[JUMLAH]]="","",(NOTA[[#This Row],[JUMLAH]]-NOTA[[#This Row],[DISC 1-]])*NOTA[[#This Row],[DISC 2]])</f>
        <v>74593.75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287718.75</v>
      </c>
      <c r="AC424" s="50">
        <f>IF(NOTA[[#This Row],[JUMLAH]]="","",NOTA[[#This Row],[JUMLAH]]-NOTA[[#This Row],[DISC]])</f>
        <v>1417281.25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4" s="50">
        <f>IF(OR(NOTA[[#This Row],[QTY]]="",NOTA[[#This Row],[HARGA SATUAN]]="",),"",NOTA[[#This Row],[QTY]]*NOTA[[#This Row],[HARGA SATUAN]])</f>
        <v>1705000</v>
      </c>
      <c r="AI424" s="39">
        <f ca="1">IF(NOTA[ID_H]="","",INDEX(NOTA[TANGGAL],MATCH(,INDIRECT(ADDRESS(ROW(NOTA[TANGGAL]),COLUMN(NOTA[TANGGAL]))&amp;":"&amp;ADDRESS(ROW(),COLUMN(NOTA[TANGGAL]))),-1)))</f>
        <v>45276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12</v>
      </c>
      <c r="AN4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960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50 BOX (20 PCS)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/>
      <c r="L425" s="37" t="s">
        <v>190</v>
      </c>
      <c r="M425" s="40">
        <v>1</v>
      </c>
      <c r="N425" s="38">
        <v>50</v>
      </c>
      <c r="O425" s="37" t="s">
        <v>175</v>
      </c>
      <c r="P425" s="41">
        <v>28300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1415000</v>
      </c>
      <c r="Y425" s="50">
        <f>IF(NOTA[[#This Row],[JUMLAH]]="","",NOTA[[#This Row],[JUMLAH]]*NOTA[[#This Row],[DISC 1]])</f>
        <v>176875</v>
      </c>
      <c r="Z425" s="50">
        <f>IF(NOTA[[#This Row],[JUMLAH]]="","",(NOTA[[#This Row],[JUMLAH]]-NOTA[[#This Row],[DISC 1-]])*NOTA[[#This Row],[DISC 2]])</f>
        <v>61906.25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238781.25</v>
      </c>
      <c r="AC425" s="50">
        <f>IF(NOTA[[#This Row],[JUMLAH]]="","",NOTA[[#This Row],[JUMLAH]]-NOTA[[#This Row],[DISC]])</f>
        <v>1176218.75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25" s="50">
        <f>IF(OR(NOTA[[#This Row],[QTY]]="",NOTA[[#This Row],[HARGA SATUAN]]="",),"",NOTA[[#This Row],[QTY]]*NOTA[[#This Row],[HARGA SATUAN]])</f>
        <v>1415000</v>
      </c>
      <c r="AI425" s="39">
        <f ca="1">IF(NOTA[ID_H]="","",INDEX(NOTA[TANGGAL],MATCH(,INDIRECT(ADDRESS(ROW(NOTA[TANGGAL]),COLUMN(NOTA[TANGGAL]))&amp;":"&amp;ADDRESS(ROW(),COLUMN(NOTA[TANGGAL]))),-1)))</f>
        <v>45276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12</v>
      </c>
      <c r="AN42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963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BOX (40 PCS)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415</v>
      </c>
      <c r="M426" s="40">
        <v>1</v>
      </c>
      <c r="N426" s="38">
        <v>40</v>
      </c>
      <c r="O426" s="37" t="s">
        <v>130</v>
      </c>
      <c r="P426" s="41">
        <v>49200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1968000</v>
      </c>
      <c r="Y426" s="50">
        <f>IF(NOTA[[#This Row],[JUMLAH]]="","",NOTA[[#This Row],[JUMLAH]]*NOTA[[#This Row],[DISC 1]])</f>
        <v>246000</v>
      </c>
      <c r="Z426" s="50">
        <f>IF(NOTA[[#This Row],[JUMLAH]]="","",(NOTA[[#This Row],[JUMLAH]]-NOTA[[#This Row],[DISC 1-]])*NOTA[[#This Row],[DISC 2]])</f>
        <v>86100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332100</v>
      </c>
      <c r="AC426" s="50">
        <f>IF(NOTA[[#This Row],[JUMLAH]]="","",NOTA[[#This Row],[JUMLAH]]-NOTA[[#This Row],[DISC]])</f>
        <v>1635900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26" s="50">
        <f>IF(OR(NOTA[[#This Row],[QTY]]="",NOTA[[#This Row],[HARGA SATUAN]]="",),"",NOTA[[#This Row],[QTY]]*NOTA[[#This Row],[HARGA SATUAN]])</f>
        <v>1968000</v>
      </c>
      <c r="AI426" s="39">
        <f ca="1">IF(NOTA[ID_H]="","",INDEX(NOTA[TANGGAL],MATCH(,INDIRECT(ADDRESS(ROW(NOTA[TANGGAL]),COLUMN(NOTA[TANGGAL]))&amp;":"&amp;ADDRESS(ROW(),COLUMN(NOTA[TANGGAL]))),-1)))</f>
        <v>45276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12</v>
      </c>
      <c r="AN426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784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40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83</v>
      </c>
      <c r="E427" s="46"/>
      <c r="F427" s="37"/>
      <c r="G427" s="37"/>
      <c r="H427" s="47"/>
      <c r="I427" s="37"/>
      <c r="J427" s="39"/>
      <c r="K427" s="37"/>
      <c r="L427" s="37" t="s">
        <v>499</v>
      </c>
      <c r="M427" s="40"/>
      <c r="N427" s="38">
        <v>24</v>
      </c>
      <c r="O427" s="37" t="s">
        <v>152</v>
      </c>
      <c r="P427" s="41">
        <v>2350</v>
      </c>
      <c r="Q427" s="42"/>
      <c r="R427" s="48"/>
      <c r="S427" s="49">
        <v>0.1</v>
      </c>
      <c r="T427" s="44">
        <v>0.05</v>
      </c>
      <c r="U427" s="44"/>
      <c r="V427" s="50">
        <v>48222</v>
      </c>
      <c r="W427" s="45"/>
      <c r="X427" s="50">
        <f>IF(NOTA[[#This Row],[HARGA/ CTN]]="",NOTA[[#This Row],[JUMLAH_H]],NOTA[[#This Row],[HARGA/ CTN]]*IF(NOTA[[#This Row],[C]]="",0,NOTA[[#This Row],[C]]))</f>
        <v>56400</v>
      </c>
      <c r="Y427" s="50">
        <f>IF(NOTA[[#This Row],[JUMLAH]]="","",NOTA[[#This Row],[JUMLAH]]*NOTA[[#This Row],[DISC 1]])</f>
        <v>5640</v>
      </c>
      <c r="Z427" s="50">
        <f>IF(NOTA[[#This Row],[JUMLAH]]="","",(NOTA[[#This Row],[JUMLAH]]-NOTA[[#This Row],[DISC 1-]])*NOTA[[#This Row],[DISC 2]])</f>
        <v>2538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8178</v>
      </c>
      <c r="AC427" s="50">
        <f>IF(NOTA[[#This Row],[JUMLAH]]="","",NOTA[[#This Row],[JUMLAH]]-NOTA[[#This Row],[DISC]])</f>
        <v>48222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2188725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10503675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427" s="50">
        <f>IF(OR(NOTA[[#This Row],[QTY]]="",NOTA[[#This Row],[HARGA SATUAN]]="",),"",NOTA[[#This Row],[QTY]]*NOTA[[#This Row],[HARGA SATUAN]])</f>
        <v>56400</v>
      </c>
      <c r="AI427" s="39">
        <f ca="1">IF(NOTA[ID_H]="","",INDEX(NOTA[TANGGAL],MATCH(,INDIRECT(ADDRESS(ROW(NOTA[TANGGAL]),COLUMN(NOTA[TANGGAL]))&amp;":"&amp;ADDRESS(ROW(),COLUMN(NOTA[TANGGAL]))),-1)))</f>
        <v>45276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12</v>
      </c>
      <c r="AN42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2623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48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KEN_2312_423-4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84</v>
      </c>
      <c r="E429" s="46">
        <v>45283</v>
      </c>
      <c r="F429" s="37" t="s">
        <v>22</v>
      </c>
      <c r="G429" s="37" t="s">
        <v>23</v>
      </c>
      <c r="H429" s="47" t="s">
        <v>500</v>
      </c>
      <c r="I429" s="37"/>
      <c r="J429" s="39">
        <v>45278</v>
      </c>
      <c r="K429" s="37"/>
      <c r="L429" s="37" t="s">
        <v>441</v>
      </c>
      <c r="M429" s="40">
        <v>4</v>
      </c>
      <c r="O429" s="37"/>
      <c r="P429" s="41"/>
      <c r="Q429" s="42">
        <v>2088000</v>
      </c>
      <c r="R429" s="50"/>
      <c r="S429" s="49">
        <v>0.17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8352000</v>
      </c>
      <c r="Y429" s="50">
        <f>IF(NOTA[[#This Row],[JUMLAH]]="","",NOTA[[#This Row],[JUMLAH]]*NOTA[[#This Row],[DISC 1]])</f>
        <v>1419840</v>
      </c>
      <c r="Z429" s="50">
        <f>IF(NOTA[[#This Row],[JUMLAH]]="","",(NOTA[[#This Row],[JUMLAH]]-NOTA[[#This Row],[DISC 1-]])*NOTA[[#This Row],[DISC 2]])</f>
        <v>346608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1766448</v>
      </c>
      <c r="AC429" s="50">
        <f>IF(NOTA[[#This Row],[JUMLAH]]="","",NOTA[[#This Row],[JUMLAH]]-NOTA[[#This Row],[DISC]])</f>
        <v>6585552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45283</v>
      </c>
      <c r="AJ429" s="41" t="str">
        <f ca="1">IF(NOTA[[#This Row],[NAMA BARANG]]="","",INDEX(NOTA[SUPPLIER],MATCH(,INDIRECT(ADDRESS(ROW(NOTA[ID]),COLUMN(NOTA[ID]))&amp;":"&amp;ADDRESS(ROW(),COLUMN(NOTA[ID]))),-1)))</f>
        <v>KENKO SINAR INDONESIA</v>
      </c>
      <c r="AK429" s="41" t="str">
        <f ca="1">IF(NOTA[[#This Row],[ID_H]]="","",IF(NOTA[[#This Row],[FAKTUR]]="",INDIRECT(ADDRESS(ROW()-1,COLUMN())),NOTA[[#This Row],[FAKTUR]]))</f>
        <v>ARTO MORO</v>
      </c>
      <c r="AL429" s="38">
        <f ca="1">IF(NOTA[[#This Row],[ID]]="","",COUNTIF(NOTA[ID_H],NOTA[[#This Row],[ID_H]]))</f>
        <v>4</v>
      </c>
      <c r="AM429" s="38">
        <f>IF(NOTA[[#This Row],[TGL.NOTA]]="",IF(NOTA[[#This Row],[SUPPLIER_H]]="","",AM428),MONTH(NOTA[[#This Row],[TGL.NOTA]]))</f>
        <v>12</v>
      </c>
      <c r="AN42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MORO2312142345278titi12coloroilpasteltip12s</v>
      </c>
      <c r="AR429" s="38" t="e">
        <f>IF(NOTA[[#This Row],[CONCAT4]]="","",_xlfn.IFNA(MATCH(NOTA[[#This Row],[CONCAT4]],[2]!RAW[CONCAT_H],0),FALSE))</f>
        <v>#REF!</v>
      </c>
      <c r="AS429" s="38">
        <f>IF(NOTA[[#This Row],[CONCAT1]]="","",MATCH(NOTA[[#This Row],[CONCAT1]],[3]!db[NB NOTA_C],0))</f>
        <v>2984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84</v>
      </c>
      <c r="E430" s="46"/>
      <c r="F430" s="37"/>
      <c r="G430" s="37"/>
      <c r="H430" s="47"/>
      <c r="I430" s="37"/>
      <c r="J430" s="39"/>
      <c r="K430" s="37"/>
      <c r="L430" s="37" t="s">
        <v>211</v>
      </c>
      <c r="M430" s="40">
        <v>10</v>
      </c>
      <c r="O430" s="37"/>
      <c r="P430" s="41"/>
      <c r="Q430" s="42">
        <v>2280000</v>
      </c>
      <c r="R430" s="48"/>
      <c r="S430" s="49">
        <v>0.17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22800000</v>
      </c>
      <c r="Y430" s="50">
        <f>IF(NOTA[[#This Row],[JUMLAH]]="","",NOTA[[#This Row],[JUMLAH]]*NOTA[[#This Row],[DISC 1]])</f>
        <v>3876000.0000000005</v>
      </c>
      <c r="Z430" s="50">
        <f>IF(NOTA[[#This Row],[JUMLAH]]="","",(NOTA[[#This Row],[JUMLAH]]-NOTA[[#This Row],[DISC 1-]])*NOTA[[#This Row],[DISC 2]])</f>
        <v>946200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4822200</v>
      </c>
      <c r="AC430" s="50">
        <f>IF(NOTA[[#This Row],[JUMLAH]]="","",NOTA[[#This Row],[JUMLAH]]-NOTA[[#This Row],[DISC]])</f>
        <v>17977800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45283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12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1797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10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84</v>
      </c>
      <c r="E431" s="46"/>
      <c r="F431" s="37"/>
      <c r="G431" s="37"/>
      <c r="H431" s="47"/>
      <c r="I431" s="37"/>
      <c r="J431" s="39"/>
      <c r="K431" s="37"/>
      <c r="L431" s="37" t="s">
        <v>437</v>
      </c>
      <c r="M431" s="40">
        <v>2</v>
      </c>
      <c r="O431" s="37"/>
      <c r="P431" s="41"/>
      <c r="Q431" s="42">
        <v>3888000</v>
      </c>
      <c r="R431" s="48"/>
      <c r="S431" s="49">
        <v>0.17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7776000</v>
      </c>
      <c r="Y431" s="50">
        <f>IF(NOTA[[#This Row],[JUMLAH]]="","",NOTA[[#This Row],[JUMLAH]]*NOTA[[#This Row],[DISC 1]])</f>
        <v>1321920</v>
      </c>
      <c r="Z431" s="50">
        <f>IF(NOTA[[#This Row],[JUMLAH]]="","",(NOTA[[#This Row],[JUMLAH]]-NOTA[[#This Row],[DISC 1-]])*NOTA[[#This Row],[DISC 2]])</f>
        <v>322704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1644624</v>
      </c>
      <c r="AC431" s="50">
        <f>IF(NOTA[[#This Row],[JUMLAH]]="","",NOTA[[#This Row],[JUMLAH]]-NOTA[[#This Row],[DISC]])</f>
        <v>6131376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45283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12</v>
      </c>
      <c r="AN4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1608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60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84</v>
      </c>
      <c r="E432" s="46"/>
      <c r="F432" s="37"/>
      <c r="G432" s="37"/>
      <c r="H432" s="47"/>
      <c r="I432" s="37"/>
      <c r="J432" s="39"/>
      <c r="K432" s="37"/>
      <c r="L432" s="37" t="s">
        <v>501</v>
      </c>
      <c r="M432" s="40">
        <v>4</v>
      </c>
      <c r="O432" s="37"/>
      <c r="P432" s="41"/>
      <c r="Q432" s="42">
        <v>852000</v>
      </c>
      <c r="R432" s="48"/>
      <c r="S432" s="49">
        <v>0.17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3408000</v>
      </c>
      <c r="Y432" s="50">
        <f>IF(NOTA[[#This Row],[JUMLAH]]="","",NOTA[[#This Row],[JUMLAH]]*NOTA[[#This Row],[DISC 1]])</f>
        <v>579360</v>
      </c>
      <c r="Z432" s="50">
        <f>IF(NOTA[[#This Row],[JUMLAH]]="","",(NOTA[[#This Row],[JUMLAH]]-NOTA[[#This Row],[DISC 1-]])*NOTA[[#This Row],[DISC 2]])</f>
        <v>141432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720792</v>
      </c>
      <c r="AC432" s="50">
        <f>IF(NOTA[[#This Row],[JUMLAH]]="","",NOTA[[#This Row],[JUMLAH]]-NOTA[[#This Row],[DISC]])</f>
        <v>2687208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8954064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33381936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32" s="50" t="str">
        <f>IF(OR(NOTA[[#This Row],[QTY]]="",NOTA[[#This Row],[HARGA SATUAN]]="",),"",NOTA[[#This Row],[QTY]]*NOTA[[#This Row],[HARGA SATUAN]])</f>
        <v/>
      </c>
      <c r="AI432" s="39">
        <f ca="1">IF(NOTA[ID_H]="","",INDEX(NOTA[TANGGAL],MATCH(,INDIRECT(ADDRESS(ROW(NOTA[TANGGAL]),COLUMN(NOTA[TANGGAL]))&amp;":"&amp;ADDRESS(ROW(),COLUMN(NOTA[TANGGAL]))),-1)))</f>
        <v>45283</v>
      </c>
      <c r="AJ432" s="41" t="str">
        <f ca="1">IF(NOTA[[#This Row],[NAMA BARANG]]="","",INDEX(NOTA[SUPPLIER],MATCH(,INDIRECT(ADDRESS(ROW(NOTA[ID]),COLUMN(NOTA[ID]))&amp;":"&amp;ADDRESS(ROW(),COLUMN(NOTA[ID]))),-1)))</f>
        <v>KENKO SINAR INDONESIA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12</v>
      </c>
      <c r="AN432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1555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60 ROL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KEN_2312_453-1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 t="s">
        <v>22</v>
      </c>
      <c r="G434" s="37" t="s">
        <v>23</v>
      </c>
      <c r="H434" s="47" t="s">
        <v>502</v>
      </c>
      <c r="I434" s="37"/>
      <c r="J434" s="39">
        <v>45278</v>
      </c>
      <c r="K434" s="37"/>
      <c r="L434" s="37" t="s">
        <v>441</v>
      </c>
      <c r="M434" s="40">
        <v>5</v>
      </c>
      <c r="O434" s="37"/>
      <c r="P434" s="41"/>
      <c r="Q434" s="42">
        <v>2088000</v>
      </c>
      <c r="R434" s="48"/>
      <c r="S434" s="49">
        <v>0.17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10440000</v>
      </c>
      <c r="Y434" s="50">
        <f>IF(NOTA[[#This Row],[JUMLAH]]="","",NOTA[[#This Row],[JUMLAH]]*NOTA[[#This Row],[DISC 1]])</f>
        <v>1774800.0000000002</v>
      </c>
      <c r="Z434" s="50">
        <f>IF(NOTA[[#This Row],[JUMLAH]]="","",(NOTA[[#This Row],[JUMLAH]]-NOTA[[#This Row],[DISC 1-]])*NOTA[[#This Row],[DISC 2]])</f>
        <v>433260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2208060</v>
      </c>
      <c r="AC434" s="50">
        <f>IF(NOTA[[#This Row],[JUMLAH]]="","",NOTA[[#This Row],[JUMLAH]]-NOTA[[#This Row],[DISC]])</f>
        <v>8231940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8231940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45283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</v>
      </c>
      <c r="AM434" s="38">
        <f>IF(NOTA[[#This Row],[TGL.NOTA]]="",IF(NOTA[[#This Row],[SUPPLIER_H]]="","",AM433),MONTH(NOTA[[#This Row],[TGL.NOTA]]))</f>
        <v>12</v>
      </c>
      <c r="AN43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MORO2312145345278titi12coloroilpasteltip12s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2984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12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KEN_2312_436-2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86</v>
      </c>
      <c r="E436" s="46">
        <v>45283</v>
      </c>
      <c r="F436" s="37" t="s">
        <v>22</v>
      </c>
      <c r="G436" s="37" t="s">
        <v>23</v>
      </c>
      <c r="H436" s="47" t="s">
        <v>503</v>
      </c>
      <c r="I436" s="37"/>
      <c r="J436" s="39">
        <v>45278</v>
      </c>
      <c r="K436" s="37"/>
      <c r="L436" s="37" t="s">
        <v>504</v>
      </c>
      <c r="M436" s="40">
        <v>10</v>
      </c>
      <c r="O436" s="37"/>
      <c r="P436" s="41"/>
      <c r="Q436" s="42">
        <v>5616000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56160000</v>
      </c>
      <c r="Y436" s="50">
        <f>IF(NOTA[[#This Row],[JUMLAH]]="","",NOTA[[#This Row],[JUMLAH]]*NOTA[[#This Row],[DISC 1]])</f>
        <v>9547200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9547200</v>
      </c>
      <c r="AC436" s="50">
        <f>IF(NOTA[[#This Row],[JUMLAH]]="","",NOTA[[#This Row],[JUMLAH]]-NOTA[[#This Row],[DISC]])</f>
        <v>46612800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45283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>
        <f ca="1">IF(NOTA[[#This Row],[ID]]="","",COUNTIF(NOTA[ID_H],NOTA[[#This Row],[ID_H]]))</f>
        <v>2</v>
      </c>
      <c r="AM436" s="38">
        <f>IF(NOTA[[#This Row],[TGL.NOTA]]="",IF(NOTA[[#This Row],[SUPPLIER_H]]="","",AM435),MONTH(NOTA[[#This Row],[TGL.NOTA]]))</f>
        <v>12</v>
      </c>
      <c r="AN43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MORO2312143645278kenkogelpenhitechh028mmblack</v>
      </c>
      <c r="AR436" s="38" t="e">
        <f>IF(NOTA[[#This Row],[CONCAT4]]="","",_xlfn.IFNA(MATCH(NOTA[[#This Row],[CONCAT4]],[2]!RAW[CONCAT_H],0),FALSE))</f>
        <v>#REF!</v>
      </c>
      <c r="AS436" s="38">
        <f>IF(NOTA[[#This Row],[CONCAT1]]="","",MATCH(NOTA[[#This Row],[CONCAT1]],[3]!db[NB NOTA_C],0))</f>
        <v>1632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86</v>
      </c>
      <c r="E437" s="46"/>
      <c r="F437" s="37"/>
      <c r="G437" s="37"/>
      <c r="H437" s="47"/>
      <c r="I437" s="37"/>
      <c r="J437" s="39"/>
      <c r="K437" s="37"/>
      <c r="L437" s="54" t="s">
        <v>505</v>
      </c>
      <c r="M437" s="40">
        <v>2</v>
      </c>
      <c r="O437" s="37"/>
      <c r="P437" s="41"/>
      <c r="Q437" s="42">
        <v>5616000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11232000</v>
      </c>
      <c r="Y437" s="50">
        <f>IF(NOTA[[#This Row],[JUMLAH]]="","",NOTA[[#This Row],[JUMLAH]]*NOTA[[#This Row],[DISC 1]])</f>
        <v>1909440.0000000002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1909440.0000000002</v>
      </c>
      <c r="AC437" s="50">
        <f>IF(NOTA[[#This Row],[JUMLAH]]="","",NOTA[[#This Row],[JUMLAH]]-NOTA[[#This Row],[DISC]])</f>
        <v>9322560</v>
      </c>
      <c r="AD437" s="50"/>
      <c r="AE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11456640</v>
      </c>
      <c r="AF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55935360</v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45283</v>
      </c>
      <c r="AJ437" s="41" t="str">
        <f ca="1">IF(NOTA[[#This Row],[NAMA BARANG]]="","",INDEX(NOTA[SUPPLIER],MATCH(,INDIRECT(ADDRESS(ROW(NOTA[ID]),COLUMN(NOTA[ID]))&amp;":"&amp;ADDRESS(ROW(),COLUMN(NOTA[ID]))),-1)))</f>
        <v>KENKO SINAR INDONESIA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1633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144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KEN_2312_486-3</v>
      </c>
      <c r="C439" s="38" t="e">
        <f ca="1">IF(NOTA[[#This Row],[ID_P]]="","",MATCH(NOTA[[#This Row],[ID_P]],[1]!B_MSK[N_ID],0))</f>
        <v>#REF!</v>
      </c>
      <c r="D439" s="38">
        <f ca="1">IF(NOTA[[#This Row],[NAMA BARANG]]="","",INDEX(NOTA[ID],MATCH(,INDIRECT(ADDRESS(ROW(NOTA[ID]),COLUMN(NOTA[ID]))&amp;":"&amp;ADDRESS(ROW(),COLUMN(NOTA[ID]))),-1)))</f>
        <v>87</v>
      </c>
      <c r="E439" s="46"/>
      <c r="F439" s="37" t="s">
        <v>22</v>
      </c>
      <c r="G439" s="37" t="s">
        <v>23</v>
      </c>
      <c r="H439" s="47" t="s">
        <v>506</v>
      </c>
      <c r="I439" s="37"/>
      <c r="J439" s="39">
        <v>45279</v>
      </c>
      <c r="K439" s="37"/>
      <c r="L439" s="37" t="s">
        <v>443</v>
      </c>
      <c r="M439" s="40">
        <v>1</v>
      </c>
      <c r="O439" s="37"/>
      <c r="P439" s="41"/>
      <c r="Q439" s="42">
        <v>3888000</v>
      </c>
      <c r="R439" s="48"/>
      <c r="S439" s="49">
        <v>0.17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3888000</v>
      </c>
      <c r="Y439" s="50">
        <f>IF(NOTA[[#This Row],[JUMLAH]]="","",NOTA[[#This Row],[JUMLAH]]*NOTA[[#This Row],[DISC 1]])</f>
        <v>660960</v>
      </c>
      <c r="Z439" s="50">
        <f>IF(NOTA[[#This Row],[JUMLAH]]="","",(NOTA[[#This Row],[JUMLAH]]-NOTA[[#This Row],[DISC 1-]])*NOTA[[#This Row],[DISC 2]])</f>
        <v>161352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822312</v>
      </c>
      <c r="AC439" s="50">
        <f>IF(NOTA[[#This Row],[JUMLAH]]="","",NOTA[[#This Row],[JUMLAH]]-NOTA[[#This Row],[DISC]])</f>
        <v>3065688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45283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>
        <f ca="1">IF(NOTA[[#This Row],[ID]]="","",COUNTIF(NOTA[ID_H],NOTA[[#This Row],[ID_H]]))</f>
        <v>3</v>
      </c>
      <c r="AM439" s="38">
        <f>IF(NOTA[[#This Row],[TGL.NOTA]]="",IF(NOTA[[#This Row],[SUPPLIER_H]]="","",AM438),MONTH(NOTA[[#This Row],[TGL.NOTA]]))</f>
        <v>12</v>
      </c>
      <c r="AN43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MORO2312148645279kenkocutterbladea1009mm</v>
      </c>
      <c r="AR439" s="38" t="e">
        <f>IF(NOTA[[#This Row],[CONCAT4]]="","",_xlfn.IFNA(MATCH(NOTA[[#This Row],[CONCAT4]],[2]!RAW[CONCAT_H],0),FALSE))</f>
        <v>#REF!</v>
      </c>
      <c r="AS439" s="38">
        <f>IF(NOTA[[#This Row],[CONCAT1]]="","",MATCH(NOTA[[#This Row],[CONCAT1]],[3]!db[NB NOTA_C],0))</f>
        <v>1607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87</v>
      </c>
      <c r="E440" s="46"/>
      <c r="F440" s="37"/>
      <c r="G440" s="37"/>
      <c r="H440" s="47"/>
      <c r="I440" s="37"/>
      <c r="J440" s="39"/>
      <c r="K440" s="37"/>
      <c r="L440" s="37" t="s">
        <v>504</v>
      </c>
      <c r="M440" s="40">
        <v>1</v>
      </c>
      <c r="O440" s="37"/>
      <c r="P440" s="41"/>
      <c r="Q440" s="42">
        <v>5616000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5616000</v>
      </c>
      <c r="Y440" s="50">
        <f>IF(NOTA[[#This Row],[JUMLAH]]="","",NOTA[[#This Row],[JUMLAH]]*NOTA[[#This Row],[DISC 1]])</f>
        <v>954720.00000000012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954720.00000000012</v>
      </c>
      <c r="AC440" s="50">
        <f>IF(NOTA[[#This Row],[JUMLAH]]="","",NOTA[[#This Row],[JUMLAH]]-NOTA[[#This Row],[DISC]])</f>
        <v>4661280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45283</v>
      </c>
      <c r="AJ440" s="41" t="str">
        <f ca="1">IF(NOTA[[#This Row],[NAMA BARANG]]="","",INDEX(NOTA[SUPPLIER],MATCH(,INDIRECT(ADDRESS(ROW(NOTA[ID]),COLUMN(NOTA[ID]))&amp;":"&amp;ADDRESS(ROW(),COLUMN(NOTA[ID]))),-1)))</f>
        <v>KENKO SINAR INDONESIA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12</v>
      </c>
      <c r="AN44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1632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144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87</v>
      </c>
      <c r="E441" s="46"/>
      <c r="F441" s="37"/>
      <c r="G441" s="37"/>
      <c r="H441" s="47"/>
      <c r="I441" s="37"/>
      <c r="J441" s="39"/>
      <c r="K441" s="37"/>
      <c r="L441" s="37" t="s">
        <v>507</v>
      </c>
      <c r="M441" s="40">
        <v>2</v>
      </c>
      <c r="O441" s="37"/>
      <c r="P441" s="41"/>
      <c r="Q441" s="42">
        <v>1296000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2592000</v>
      </c>
      <c r="Y441" s="50">
        <f>IF(NOTA[[#This Row],[JUMLAH]]="","",NOTA[[#This Row],[JUMLAH]]*NOTA[[#This Row],[DISC 1]])</f>
        <v>440640.00000000006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440640.00000000006</v>
      </c>
      <c r="AC441" s="50">
        <f>IF(NOTA[[#This Row],[JUMLAH]]="","",NOTA[[#This Row],[JUMLAH]]-NOTA[[#This Row],[DISC]])</f>
        <v>2151360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2217672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9878328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45283</v>
      </c>
      <c r="AJ441" s="41" t="str">
        <f ca="1">IF(NOTA[[#This Row],[NAMA BARANG]]="","",INDEX(NOTA[SUPPLIER],MATCH(,INDIRECT(ADDRESS(ROW(NOTA[ID]),COLUMN(NOTA[ID]))&amp;":"&amp;ADDRESS(ROW(),COLUMN(NOTA[ID]))),-1)))</f>
        <v>KENKO SINAR INDONESIA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12</v>
      </c>
      <c r="AN44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1719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216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KEN_2312_647-3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88</v>
      </c>
      <c r="E443" s="46">
        <v>45283</v>
      </c>
      <c r="F443" s="37" t="s">
        <v>22</v>
      </c>
      <c r="G443" s="37" t="s">
        <v>23</v>
      </c>
      <c r="H443" s="47" t="s">
        <v>508</v>
      </c>
      <c r="I443" s="37"/>
      <c r="J443" s="39">
        <v>45280</v>
      </c>
      <c r="K443" s="37"/>
      <c r="L443" s="37" t="s">
        <v>446</v>
      </c>
      <c r="M443" s="40">
        <v>1</v>
      </c>
      <c r="O443" s="37"/>
      <c r="P443" s="41"/>
      <c r="Q443" s="42">
        <v>1440000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1440000</v>
      </c>
      <c r="Y443" s="50">
        <f>IF(NOTA[[#This Row],[JUMLAH]]="","",NOTA[[#This Row],[JUMLAH]]*NOTA[[#This Row],[DISC 1]])</f>
        <v>244800.00000000003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244800.00000000003</v>
      </c>
      <c r="AC443" s="50">
        <f>IF(NOTA[[#This Row],[JUMLAH]]="","",NOTA[[#This Row],[JUMLAH]]-NOTA[[#This Row],[DISC]])</f>
        <v>1195200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45283</v>
      </c>
      <c r="AJ443" s="41" t="str">
        <f ca="1">IF(NOTA[[#This Row],[NAMA BARANG]]="","",INDEX(NOTA[SUPPLIER],MATCH(,INDIRECT(ADDRESS(ROW(NOTA[ID]),COLUMN(NOTA[ID]))&amp;":"&amp;ADDRESS(ROW(),COLUMN(NOTA[ID]))),-1)))</f>
        <v>KENKO SINAR INDONESIA</v>
      </c>
      <c r="AK443" s="41" t="str">
        <f ca="1">IF(NOTA[[#This Row],[ID_H]]="","",IF(NOTA[[#This Row],[FAKTUR]]="",INDIRECT(ADDRESS(ROW()-1,COLUMN())),NOTA[[#This Row],[FAKTUR]]))</f>
        <v>ARTO MORO</v>
      </c>
      <c r="AL443" s="38">
        <f ca="1">IF(NOTA[[#This Row],[ID]]="","",COUNTIF(NOTA[ID_H],NOTA[[#This Row],[ID_H]]))</f>
        <v>3</v>
      </c>
      <c r="AM443" s="38">
        <f>IF(NOTA[[#This Row],[TGL.NOTA]]="",IF(NOTA[[#This Row],[SUPPLIER_H]]="","",AM442),MONTH(NOTA[[#This Row],[TGL.NOTA]]))</f>
        <v>12</v>
      </c>
      <c r="AN443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MORO2312164745280kenkobinderclipno105</v>
      </c>
      <c r="AR443" s="38" t="e">
        <f>IF(NOTA[[#This Row],[CONCAT4]]="","",_xlfn.IFNA(MATCH(NOTA[[#This Row],[CONCAT4]],[2]!RAW[CONCAT_H],0),FALSE))</f>
        <v>#REF!</v>
      </c>
      <c r="AS443" s="38">
        <f>IF(NOTA[[#This Row],[CONCAT1]]="","",MATCH(NOTA[[#This Row],[CONCAT1]],[3]!db[NB NOTA_C],0))</f>
        <v>1508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50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458</v>
      </c>
      <c r="M444" s="40">
        <v>2</v>
      </c>
      <c r="O444" s="37"/>
      <c r="P444" s="41"/>
      <c r="Q444" s="42">
        <v>900000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1800000</v>
      </c>
      <c r="Y444" s="50">
        <f>IF(NOTA[[#This Row],[JUMLAH]]="","",NOTA[[#This Row],[JUMLAH]]*NOTA[[#This Row],[DISC 1]])</f>
        <v>306000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306000</v>
      </c>
      <c r="AC444" s="50">
        <f>IF(NOTA[[#This Row],[JUMLAH]]="","",NOTA[[#This Row],[JUMLAH]]-NOTA[[#This Row],[DISC]])</f>
        <v>1494000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45283</v>
      </c>
      <c r="AJ444" s="41" t="str">
        <f ca="1">IF(NOTA[[#This Row],[NAMA BARANG]]="","",INDEX(NOTA[SUPPLIER],MATCH(,INDIRECT(ADDRESS(ROW(NOTA[ID]),COLUMN(NOTA[ID]))&amp;":"&amp;ADDRESS(ROW(),COLUMN(NOTA[ID]))),-1)))</f>
        <v>KENKO SINAR INDONESIA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12</v>
      </c>
      <c r="AN4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1513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5 GRS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509</v>
      </c>
      <c r="M445" s="40">
        <v>1</v>
      </c>
      <c r="O445" s="37"/>
      <c r="P445" s="41"/>
      <c r="Q445" s="42">
        <v>1536000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1536000</v>
      </c>
      <c r="Y445" s="50">
        <f>IF(NOTA[[#This Row],[JUMLAH]]="","",NOTA[[#This Row],[JUMLAH]]*NOTA[[#This Row],[DISC 1]])</f>
        <v>261120.00000000003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261120.00000000003</v>
      </c>
      <c r="AC445" s="50">
        <f>IF(NOTA[[#This Row],[JUMLAH]]="","",NOTA[[#This Row],[JUMLAH]]-NOTA[[#This Row],[DISC]])</f>
        <v>1274880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811920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3964080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45283</v>
      </c>
      <c r="AJ445" s="41" t="str">
        <f ca="1">IF(NOTA[[#This Row],[NAMA BARANG]]="","",INDEX(NOTA[SUPPLIER],MATCH(,INDIRECT(ADDRESS(ROW(NOTA[ID]),COLUMN(NOTA[ID]))&amp;":"&amp;ADDRESS(ROW(),COLUMN(NOTA[ID]))),-1)))</f>
        <v>KENKO SINAR INDONESIA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12</v>
      </c>
      <c r="AN445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1760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4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ATA_2012_921-3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45280</v>
      </c>
      <c r="F447" s="37" t="s">
        <v>24</v>
      </c>
      <c r="G447" s="37" t="s">
        <v>23</v>
      </c>
      <c r="H447" s="47" t="s">
        <v>510</v>
      </c>
      <c r="I447" s="37"/>
      <c r="J447" s="39">
        <v>45276</v>
      </c>
      <c r="K447" s="37"/>
      <c r="L447" s="37" t="s">
        <v>511</v>
      </c>
      <c r="M447" s="40">
        <v>2</v>
      </c>
      <c r="N447" s="38">
        <v>192</v>
      </c>
      <c r="O447" s="37" t="s">
        <v>160</v>
      </c>
      <c r="P447" s="41">
        <v>26800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5145600</v>
      </c>
      <c r="Y447" s="50">
        <f>IF(NOTA[[#This Row],[JUMLAH]]="","",NOTA[[#This Row],[JUMLAH]]*NOTA[[#This Row],[DISC 1]])</f>
        <v>643200</v>
      </c>
      <c r="Z447" s="50">
        <f>IF(NOTA[[#This Row],[JUMLAH]]="","",(NOTA[[#This Row],[JUMLAH]]-NOTA[[#This Row],[DISC 1-]])*NOTA[[#This Row],[DISC 2]])</f>
        <v>225120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868320</v>
      </c>
      <c r="AC447" s="50">
        <f>IF(NOTA[[#This Row],[JUMLAH]]="","",NOTA[[#This Row],[JUMLAH]]-NOTA[[#This Row],[DISC]])</f>
        <v>4277280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47" s="50">
        <f>IF(OR(NOTA[[#This Row],[QTY]]="",NOTA[[#This Row],[HARGA SATUAN]]="",),"",NOTA[[#This Row],[QTY]]*NOTA[[#This Row],[HARGA SATUAN]])</f>
        <v>5145600</v>
      </c>
      <c r="AI447" s="39">
        <f ca="1">IF(NOTA[ID_H]="","",INDEX(NOTA[TANGGAL],MATCH(,INDIRECT(ADDRESS(ROW(NOTA[TANGGAL]),COLUMN(NOTA[TANGGAL]))&amp;":"&amp;ADDRESS(ROW(),COLUMN(NOTA[TANGGAL]))),-1)))</f>
        <v>45280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3</v>
      </c>
      <c r="AM447" s="38">
        <f>IF(NOTA[[#This Row],[TGL.NOTA]]="",IF(NOTA[[#This Row],[SUPPLIER_H]]="","",AM446),MONTH(NOTA[[#This Row],[TGL.NOTA]]))</f>
        <v>12</v>
      </c>
      <c r="AN447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MOROSA23122192145276watercolorwac6ml12screwtypejk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3072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8 BOX (12 SET)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512</v>
      </c>
      <c r="M448" s="40">
        <v>2</v>
      </c>
      <c r="N448" s="38">
        <v>288</v>
      </c>
      <c r="O448" s="37" t="s">
        <v>160</v>
      </c>
      <c r="P448" s="41">
        <v>9000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2592000</v>
      </c>
      <c r="Y448" s="50">
        <f>IF(NOTA[[#This Row],[JUMLAH]]="","",NOTA[[#This Row],[JUMLAH]]*NOTA[[#This Row],[DISC 1]])</f>
        <v>324000</v>
      </c>
      <c r="Z448" s="50">
        <f>IF(NOTA[[#This Row],[JUMLAH]]="","",(NOTA[[#This Row],[JUMLAH]]-NOTA[[#This Row],[DISC 1-]])*NOTA[[#This Row],[DISC 2]])</f>
        <v>113400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437400</v>
      </c>
      <c r="AC448" s="50">
        <f>IF(NOTA[[#This Row],[JUMLAH]]="","",NOTA[[#This Row],[JUMLAH]]-NOTA[[#This Row],[DISC]])</f>
        <v>2154600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8" s="50">
        <f>IF(OR(NOTA[[#This Row],[QTY]]="",NOTA[[#This Row],[HARGA SATUAN]]="",),"",NOTA[[#This Row],[QTY]]*NOTA[[#This Row],[HARGA SATUAN]])</f>
        <v>2592000</v>
      </c>
      <c r="AI448" s="39">
        <f ca="1">IF(NOTA[ID_H]="","",INDEX(NOTA[TANGGAL],MATCH(,INDIRECT(ADDRESS(ROW(NOTA[TANGGAL]),COLUMN(NOTA[TANGGAL]))&amp;":"&amp;ADDRESS(ROW(),COLUMN(NOTA[TANGGAL]))),-1)))</f>
        <v>45280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12</v>
      </c>
      <c r="AN44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2185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6 BOX (24 SET)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513</v>
      </c>
      <c r="M449" s="40"/>
      <c r="N449" s="38">
        <v>48</v>
      </c>
      <c r="O449" s="37" t="s">
        <v>152</v>
      </c>
      <c r="P449" s="41">
        <v>2300</v>
      </c>
      <c r="Q449" s="42"/>
      <c r="R449" s="48"/>
      <c r="S449" s="49">
        <v>0.125</v>
      </c>
      <c r="T449" s="44">
        <v>0.05</v>
      </c>
      <c r="U449" s="44"/>
      <c r="V449" s="50">
        <v>91770</v>
      </c>
      <c r="W449" s="45"/>
      <c r="X449" s="50">
        <f>IF(NOTA[[#This Row],[HARGA/ CTN]]="",NOTA[[#This Row],[JUMLAH_H]],NOTA[[#This Row],[HARGA/ CTN]]*IF(NOTA[[#This Row],[C]]="",0,NOTA[[#This Row],[C]]))</f>
        <v>110400</v>
      </c>
      <c r="Y449" s="50">
        <f>IF(NOTA[[#This Row],[JUMLAH]]="","",NOTA[[#This Row],[JUMLAH]]*NOTA[[#This Row],[DISC 1]])</f>
        <v>13800</v>
      </c>
      <c r="Z449" s="50">
        <f>IF(NOTA[[#This Row],[JUMLAH]]="","",(NOTA[[#This Row],[JUMLAH]]-NOTA[[#This Row],[DISC 1-]])*NOTA[[#This Row],[DISC 2]])</f>
        <v>4830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18630</v>
      </c>
      <c r="AC449" s="50">
        <f>IF(NOTA[[#This Row],[JUMLAH]]="","",NOTA[[#This Row],[JUMLAH]]-NOTA[[#This Row],[DISC]])</f>
        <v>91770</v>
      </c>
      <c r="AD449" s="50"/>
      <c r="AE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1416120</v>
      </c>
      <c r="AF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6431880</v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449" s="50">
        <f>IF(OR(NOTA[[#This Row],[QTY]]="",NOTA[[#This Row],[HARGA SATUAN]]="",),"",NOTA[[#This Row],[QTY]]*NOTA[[#This Row],[HARGA SATUAN]])</f>
        <v>110400</v>
      </c>
      <c r="AI449" s="39">
        <f ca="1">IF(NOTA[ID_H]="","",INDEX(NOTA[TANGGAL],MATCH(,INDIRECT(ADDRESS(ROW(NOTA[TANGGAL]),COLUMN(NOTA[TANGGAL]))&amp;":"&amp;ADDRESS(ROW(),COLUMN(NOTA[TANGGAL]))),-1)))</f>
        <v>45280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12</v>
      </c>
      <c r="AN44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3083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48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ATA_2012_965-2</v>
      </c>
      <c r="C451" s="38" t="e">
        <f ca="1">IF(NOTA[[#This Row],[ID_P]]="","",MATCH(NOTA[[#This Row],[ID_P]],[1]!B_MSK[N_ID],0))</f>
        <v>#REF!</v>
      </c>
      <c r="D451" s="38">
        <f ca="1">IF(NOTA[[#This Row],[NAMA BARANG]]="","",INDEX(NOTA[ID],MATCH(,INDIRECT(ADDRESS(ROW(NOTA[ID]),COLUMN(NOTA[ID]))&amp;":"&amp;ADDRESS(ROW(),COLUMN(NOTA[ID]))),-1)))</f>
        <v>90</v>
      </c>
      <c r="E451" s="46">
        <v>45280</v>
      </c>
      <c r="F451" s="37" t="s">
        <v>24</v>
      </c>
      <c r="G451" s="37" t="s">
        <v>23</v>
      </c>
      <c r="H451" s="47" t="s">
        <v>514</v>
      </c>
      <c r="I451" s="37"/>
      <c r="J451" s="39">
        <v>45278</v>
      </c>
      <c r="K451" s="39"/>
      <c r="L451" s="37" t="s">
        <v>521</v>
      </c>
      <c r="M451" s="40">
        <v>3</v>
      </c>
      <c r="N451" s="38">
        <v>432</v>
      </c>
      <c r="O451" s="37" t="s">
        <v>160</v>
      </c>
      <c r="P451" s="41">
        <v>11600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5011200</v>
      </c>
      <c r="Y451" s="50">
        <f>IF(NOTA[[#This Row],[JUMLAH]]="","",NOTA[[#This Row],[JUMLAH]]*NOTA[[#This Row],[DISC 1]])</f>
        <v>626400</v>
      </c>
      <c r="Z451" s="50">
        <f>IF(NOTA[[#This Row],[JUMLAH]]="","",(NOTA[[#This Row],[JUMLAH]]-NOTA[[#This Row],[DISC 1-]])*NOTA[[#This Row],[DISC 2]])</f>
        <v>219240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845640</v>
      </c>
      <c r="AC451" s="50">
        <f>IF(NOTA[[#This Row],[JUMLAH]]="","",NOTA[[#This Row],[JUMLAH]]-NOTA[[#This Row],[DISC]])</f>
        <v>4165560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H451" s="50">
        <f>IF(OR(NOTA[[#This Row],[QTY]]="",NOTA[[#This Row],[HARGA SATUAN]]="",),"",NOTA[[#This Row],[QTY]]*NOTA[[#This Row],[HARGA SATUAN]])</f>
        <v>5011200</v>
      </c>
      <c r="AI451" s="39">
        <f ca="1">IF(NOTA[ID_H]="","",INDEX(NOTA[TANGGAL],MATCH(,INDIRECT(ADDRESS(ROW(NOTA[TANGGAL]),COLUMN(NOTA[TANGGAL]))&amp;":"&amp;ADDRESS(ROW(),COLUMN(NOTA[TANGGAL]))),-1)))</f>
        <v>45280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>
        <f ca="1">IF(NOTA[[#This Row],[ID]]="","",COUNTIF(NOTA[ID_H],NOTA[[#This Row],[ID_H]]))</f>
        <v>2</v>
      </c>
      <c r="AM451" s="38">
        <f>IF(NOTA[[#This Row],[TGL.NOTA]]="",IF(NOTA[[#This Row],[SUPPLIER_H]]="","",AM450),MONTH(NOTA[[#This Row],[TGL.NOTA]]))</f>
        <v>12</v>
      </c>
      <c r="AN451" s="38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MOROSA23122196545278oilpastelop12chccompactjk</v>
      </c>
      <c r="AR451" s="38" t="e">
        <f>IF(NOTA[[#This Row],[CONCAT4]]="","",_xlfn.IFNA(MATCH(NOTA[[#This Row],[CONCAT4]],[2]!RAW[CONCAT_H],0),FALSE))</f>
        <v>#REF!</v>
      </c>
      <c r="AS451" s="38">
        <f>IF(NOTA[[#This Row],[CONCAT1]]="","",MATCH(NOTA[[#This Row],[CONCAT1]],[3]!db[NB NOTA_C],0))</f>
        <v>2184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/>
      <c r="G452" s="37"/>
      <c r="H452" s="47"/>
      <c r="I452" s="37"/>
      <c r="J452" s="39"/>
      <c r="K452" s="37"/>
      <c r="L452" s="37" t="s">
        <v>179</v>
      </c>
      <c r="M452" s="40"/>
      <c r="N452" s="38">
        <v>72</v>
      </c>
      <c r="O452" s="37" t="s">
        <v>152</v>
      </c>
      <c r="P452" s="41">
        <v>2300</v>
      </c>
      <c r="Q452" s="42"/>
      <c r="R452" s="48"/>
      <c r="S452" s="49">
        <v>0.125</v>
      </c>
      <c r="T452" s="44">
        <v>0.05</v>
      </c>
      <c r="U452" s="44"/>
      <c r="V452" s="50">
        <v>137655</v>
      </c>
      <c r="W452" s="45"/>
      <c r="X452" s="50">
        <f>IF(NOTA[[#This Row],[HARGA/ CTN]]="",NOTA[[#This Row],[JUMLAH_H]],NOTA[[#This Row],[HARGA/ CTN]]*IF(NOTA[[#This Row],[C]]="",0,NOTA[[#This Row],[C]]))</f>
        <v>165600</v>
      </c>
      <c r="Y452" s="50">
        <f>IF(NOTA[[#This Row],[JUMLAH]]="","",NOTA[[#This Row],[JUMLAH]]*NOTA[[#This Row],[DISC 1]])</f>
        <v>20700</v>
      </c>
      <c r="Z452" s="50">
        <f>IF(NOTA[[#This Row],[JUMLAH]]="","",(NOTA[[#This Row],[JUMLAH]]-NOTA[[#This Row],[DISC 1-]])*NOTA[[#This Row],[DISC 2]])</f>
        <v>7245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27945</v>
      </c>
      <c r="AC452" s="50">
        <f>IF(NOTA[[#This Row],[JUMLAH]]="","",NOTA[[#This Row],[JUMLAH]]-NOTA[[#This Row],[DISC]])</f>
        <v>137655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1011240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4165560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452" s="50">
        <f>IF(OR(NOTA[[#This Row],[QTY]]="",NOTA[[#This Row],[HARGA SATUAN]]="",),"",NOTA[[#This Row],[QTY]]*NOTA[[#This Row],[HARGA SATUAN]])</f>
        <v>165600</v>
      </c>
      <c r="AI452" s="39">
        <f ca="1">IF(NOTA[ID_H]="","",INDEX(NOTA[TANGGAL],MATCH(,INDIRECT(ADDRESS(ROW(NOTA[TANGGAL]),COLUMN(NOTA[TANGGAL]))&amp;":"&amp;ADDRESS(ROW(),COLUMN(NOTA[TANGGAL]))),-1)))</f>
        <v>45280</v>
      </c>
      <c r="AJ452" s="41" t="str">
        <f ca="1">IF(NOTA[[#This Row],[NAMA BARANG]]="","",INDEX(NOTA[SUPPLIER],MATCH(,INDIRECT(ADDRESS(ROW(NOTA[ID]),COLUMN(NOTA[ID]))&amp;":"&amp;ADDRESS(ROW(),COLUMN(NOTA[ID]))),-1)))</f>
        <v>ATALI MAKMUR</v>
      </c>
      <c r="AK452" s="41" t="str">
        <f ca="1">IF(NOTA[[#This Row],[ID_H]]="","",IF(NOTA[[#This Row],[FAKTUR]]="",INDIRECT(ADDRESS(ROW()-1,COLUMN())),NOTA[[#This Row],[FAKTUR]]))</f>
        <v>ARTO MORO</v>
      </c>
      <c r="AL452" s="38" t="str">
        <f ca="1">IF(NOTA[[#This Row],[ID]]="","",COUNTIF(NOTA[ID_H],NOTA[[#This Row],[ID_H]]))</f>
        <v/>
      </c>
      <c r="AM452" s="38">
        <f ca="1">IF(NOTA[[#This Row],[TGL.NOTA]]="",IF(NOTA[[#This Row],[SUPPLIER_H]]="","",AM451),MONTH(NOTA[[#This Row],[TGL.NOTA]]))</f>
        <v>12</v>
      </c>
      <c r="AN45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>
        <f>IF(NOTA[[#This Row],[CONCAT1]]="","",MATCH(NOTA[[#This Row],[CONCAT1]],[3]!db[NB NOTA_C],0))</f>
        <v>3083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48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GUN_2212_099-5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91</v>
      </c>
      <c r="E454" s="46">
        <v>45282</v>
      </c>
      <c r="F454" s="37" t="s">
        <v>142</v>
      </c>
      <c r="G454" s="37" t="s">
        <v>127</v>
      </c>
      <c r="H454" s="47" t="s">
        <v>515</v>
      </c>
      <c r="I454" s="37"/>
      <c r="J454" s="39">
        <v>45275</v>
      </c>
      <c r="K454" s="37"/>
      <c r="L454" s="37" t="s">
        <v>516</v>
      </c>
      <c r="M454" s="40">
        <v>1</v>
      </c>
      <c r="N454" s="38">
        <v>30</v>
      </c>
      <c r="O454" s="37" t="s">
        <v>130</v>
      </c>
      <c r="P454" s="41">
        <v>90000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2700000</v>
      </c>
      <c r="Y454" s="50">
        <f>IF(NOTA[[#This Row],[JUMLAH]]="","",NOTA[[#This Row],[JUMLAH]]*NOTA[[#This Row],[DISC 1]])</f>
        <v>135000</v>
      </c>
      <c r="Z454" s="50">
        <f>IF(NOTA[[#This Row],[JUMLAH]]="","",(NOTA[[#This Row],[JUMLAH]]-NOTA[[#This Row],[DISC 1-]])*NOTA[[#This Row],[DISC 2]])</f>
        <v>256500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391500</v>
      </c>
      <c r="AC454" s="50">
        <f>IF(NOTA[[#This Row],[JUMLAH]]="","",NOTA[[#This Row],[JUMLAH]]-NOTA[[#This Row],[DISC]])</f>
        <v>2308500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54" s="50">
        <f>IF(OR(NOTA[[#This Row],[QTY]]="",NOTA[[#This Row],[HARGA SATUAN]]="",),"",NOTA[[#This Row],[QTY]]*NOTA[[#This Row],[HARGA SATUAN]])</f>
        <v>2700000</v>
      </c>
      <c r="AI454" s="39">
        <f ca="1">IF(NOTA[ID_H]="","",INDEX(NOTA[TANGGAL],MATCH(,INDIRECT(ADDRESS(ROW(NOTA[TANGGAL]),COLUMN(NOTA[TANGGAL]))&amp;":"&amp;ADDRESS(ROW(),COLUMN(NOTA[TANGGAL]))),-1)))</f>
        <v>45282</v>
      </c>
      <c r="AJ454" s="41" t="str">
        <f ca="1">IF(NOTA[[#This Row],[NAMA BARANG]]="","",INDEX(NOTA[SUPPLIER],MATCH(,INDIRECT(ADDRESS(ROW(NOTA[ID]),COLUMN(NOTA[ID]))&amp;":"&amp;ADDRESS(ROW(),COLUMN(NOTA[ID]))),-1)))</f>
        <v>GUNINDO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5</v>
      </c>
      <c r="AM454" s="38">
        <f>IF(NOTA[[#This Row],[TGL.NOTA]]="",IF(NOTA[[#This Row],[SUPPLIER_H]]="","",AM453),MONTH(NOTA[[#This Row],[TGL.NOTA]]))</f>
        <v>12</v>
      </c>
      <c r="AN454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GUNINDOUNTANA231209945275gunindofmcoklat</v>
      </c>
      <c r="AR454" s="38" t="e">
        <f>IF(NOTA[[#This Row],[CONCAT4]]="","",_xlfn.IFNA(MATCH(NOTA[[#This Row],[CONCAT4]],[2]!RAW[CONCAT_H],0),FALSE))</f>
        <v>#REF!</v>
      </c>
      <c r="AS454" s="38">
        <f>IF(NOTA[[#This Row],[CONCAT1]]="","",MATCH(NOTA[[#This Row],[CONCAT1]],[3]!db[NB NOTA_C],0))</f>
        <v>1357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30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91</v>
      </c>
      <c r="E455" s="46"/>
      <c r="F455" s="37"/>
      <c r="G455" s="37"/>
      <c r="H455" s="47"/>
      <c r="I455" s="37"/>
      <c r="J455" s="39"/>
      <c r="K455" s="37"/>
      <c r="L455" s="37" t="s">
        <v>517</v>
      </c>
      <c r="M455" s="40">
        <v>1</v>
      </c>
      <c r="N455" s="38">
        <v>20</v>
      </c>
      <c r="O455" s="37" t="s">
        <v>130</v>
      </c>
      <c r="P455" s="41">
        <v>120000</v>
      </c>
      <c r="Q455" s="42"/>
      <c r="R455" s="48"/>
      <c r="S455" s="49">
        <v>0.05</v>
      </c>
      <c r="T455" s="44">
        <v>0.1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2400000</v>
      </c>
      <c r="Y455" s="50">
        <f>IF(NOTA[[#This Row],[JUMLAH]]="","",NOTA[[#This Row],[JUMLAH]]*NOTA[[#This Row],[DISC 1]])</f>
        <v>120000</v>
      </c>
      <c r="Z455" s="50">
        <f>IF(NOTA[[#This Row],[JUMLAH]]="","",(NOTA[[#This Row],[JUMLAH]]-NOTA[[#This Row],[DISC 1-]])*NOTA[[#This Row],[DISC 2]])</f>
        <v>228000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348000</v>
      </c>
      <c r="AC455" s="50">
        <f>IF(NOTA[[#This Row],[JUMLAH]]="","",NOTA[[#This Row],[JUMLAH]]-NOTA[[#This Row],[DISC]])</f>
        <v>2052000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5" s="50">
        <f>IF(OR(NOTA[[#This Row],[QTY]]="",NOTA[[#This Row],[HARGA SATUAN]]="",),"",NOTA[[#This Row],[QTY]]*NOTA[[#This Row],[HARGA SATUAN]])</f>
        <v>2400000</v>
      </c>
      <c r="AI455" s="39">
        <f ca="1">IF(NOTA[ID_H]="","",INDEX(NOTA[TANGGAL],MATCH(,INDIRECT(ADDRESS(ROW(NOTA[TANGGAL]),COLUMN(NOTA[TANGGAL]))&amp;":"&amp;ADDRESS(ROW(),COLUMN(NOTA[TANGGAL]))),-1)))</f>
        <v>45282</v>
      </c>
      <c r="AJ455" s="41" t="str">
        <f ca="1">IF(NOTA[[#This Row],[NAMA BARANG]]="","",INDEX(NOTA[SUPPLIER],MATCH(,INDIRECT(ADDRESS(ROW(NOTA[ID]),COLUMN(NOTA[ID]))&amp;":"&amp;ADDRESS(ROW(),COLUMN(NOTA[ID]))),-1)))</f>
        <v>GUNINDO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12</v>
      </c>
      <c r="AN455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1355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20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91</v>
      </c>
      <c r="E456" s="46"/>
      <c r="F456" s="37"/>
      <c r="G456" s="37"/>
      <c r="H456" s="47"/>
      <c r="I456" s="37"/>
      <c r="J456" s="39"/>
      <c r="K456" s="37"/>
      <c r="L456" s="37" t="s">
        <v>518</v>
      </c>
      <c r="M456" s="40">
        <v>1</v>
      </c>
      <c r="N456" s="38">
        <v>20</v>
      </c>
      <c r="O456" s="37" t="s">
        <v>130</v>
      </c>
      <c r="P456" s="41">
        <v>138600</v>
      </c>
      <c r="Q456" s="42"/>
      <c r="R456" s="48"/>
      <c r="S456" s="49">
        <v>0.05</v>
      </c>
      <c r="T456" s="44">
        <v>0.1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2772000</v>
      </c>
      <c r="Y456" s="50">
        <f>IF(NOTA[[#This Row],[JUMLAH]]="","",NOTA[[#This Row],[JUMLAH]]*NOTA[[#This Row],[DISC 1]])</f>
        <v>138600</v>
      </c>
      <c r="Z456" s="50">
        <f>IF(NOTA[[#This Row],[JUMLAH]]="","",(NOTA[[#This Row],[JUMLAH]]-NOTA[[#This Row],[DISC 1-]])*NOTA[[#This Row],[DISC 2]])</f>
        <v>263340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401940</v>
      </c>
      <c r="AC456" s="50">
        <f>IF(NOTA[[#This Row],[JUMLAH]]="","",NOTA[[#This Row],[JUMLAH]]-NOTA[[#This Row],[DISC]])</f>
        <v>2370060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56" s="50">
        <f>IF(OR(NOTA[[#This Row],[QTY]]="",NOTA[[#This Row],[HARGA SATUAN]]="",),"",NOTA[[#This Row],[QTY]]*NOTA[[#This Row],[HARGA SATUAN]])</f>
        <v>2772000</v>
      </c>
      <c r="AI456" s="39">
        <f ca="1">IF(NOTA[ID_H]="","",INDEX(NOTA[TANGGAL],MATCH(,INDIRECT(ADDRESS(ROW(NOTA[TANGGAL]),COLUMN(NOTA[TANGGAL]))&amp;":"&amp;ADDRESS(ROW(),COLUMN(NOTA[TANGGAL]))),-1)))</f>
        <v>45282</v>
      </c>
      <c r="AJ456" s="41" t="str">
        <f ca="1">IF(NOTA[[#This Row],[NAMA BARANG]]="","",INDEX(NOTA[SUPPLIER],MATCH(,INDIRECT(ADDRESS(ROW(NOTA[ID]),COLUMN(NOTA[ID]))&amp;":"&amp;ADDRESS(ROW(),COLUMN(NOTA[ID]))),-1)))</f>
        <v>GUNINDO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12</v>
      </c>
      <c r="AN456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1391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20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91</v>
      </c>
      <c r="E457" s="46"/>
      <c r="F457" s="37"/>
      <c r="G457" s="37"/>
      <c r="H457" s="47"/>
      <c r="I457" s="37"/>
      <c r="J457" s="39"/>
      <c r="K457" s="37"/>
      <c r="L457" s="37" t="s">
        <v>519</v>
      </c>
      <c r="M457" s="40">
        <v>1</v>
      </c>
      <c r="N457" s="38">
        <v>60</v>
      </c>
      <c r="O457" s="37" t="s">
        <v>130</v>
      </c>
      <c r="P457" s="41">
        <v>49200</v>
      </c>
      <c r="Q457" s="42"/>
      <c r="R457" s="48"/>
      <c r="S457" s="49">
        <v>0.05</v>
      </c>
      <c r="T457" s="44">
        <v>0.1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2952000</v>
      </c>
      <c r="Y457" s="50">
        <f>IF(NOTA[[#This Row],[JUMLAH]]="","",NOTA[[#This Row],[JUMLAH]]*NOTA[[#This Row],[DISC 1]])</f>
        <v>147600</v>
      </c>
      <c r="Z457" s="50">
        <f>IF(NOTA[[#This Row],[JUMLAH]]="","",(NOTA[[#This Row],[JUMLAH]]-NOTA[[#This Row],[DISC 1-]])*NOTA[[#This Row],[DISC 2]])</f>
        <v>280440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428040</v>
      </c>
      <c r="AC457" s="50">
        <f>IF(NOTA[[#This Row],[JUMLAH]]="","",NOTA[[#This Row],[JUMLAH]]-NOTA[[#This Row],[DISC]])</f>
        <v>2523960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57" s="50">
        <f>IF(OR(NOTA[[#This Row],[QTY]]="",NOTA[[#This Row],[HARGA SATUAN]]="",),"",NOTA[[#This Row],[QTY]]*NOTA[[#This Row],[HARGA SATUAN]])</f>
        <v>2952000</v>
      </c>
      <c r="AI457" s="39">
        <f ca="1">IF(NOTA[ID_H]="","",INDEX(NOTA[TANGGAL],MATCH(,INDIRECT(ADDRESS(ROW(NOTA[TANGGAL]),COLUMN(NOTA[TANGGAL]))&amp;":"&amp;ADDRESS(ROW(),COLUMN(NOTA[TANGGAL]))),-1)))</f>
        <v>45282</v>
      </c>
      <c r="AJ457" s="41" t="str">
        <f ca="1">IF(NOTA[[#This Row],[NAMA BARANG]]="","",INDEX(NOTA[SUPPLIER],MATCH(,INDIRECT(ADDRESS(ROW(NOTA[ID]),COLUMN(NOTA[ID]))&amp;":"&amp;ADDRESS(ROW(),COLUMN(NOTA[ID]))),-1)))</f>
        <v>GUNINDO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12</v>
      </c>
      <c r="AN457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2210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60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/>
      <c r="G458" s="37"/>
      <c r="H458" s="47"/>
      <c r="I458" s="37"/>
      <c r="J458" s="39"/>
      <c r="K458" s="37"/>
      <c r="L458" s="37" t="s">
        <v>520</v>
      </c>
      <c r="M458" s="40">
        <v>1</v>
      </c>
      <c r="N458" s="38">
        <v>30</v>
      </c>
      <c r="O458" s="37" t="s">
        <v>130</v>
      </c>
      <c r="P458" s="41">
        <v>70000</v>
      </c>
      <c r="Q458" s="42"/>
      <c r="R458" s="48"/>
      <c r="S458" s="49">
        <v>0.05</v>
      </c>
      <c r="T458" s="44">
        <v>0.1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2100000</v>
      </c>
      <c r="Y458" s="50">
        <f>IF(NOTA[[#This Row],[JUMLAH]]="","",NOTA[[#This Row],[JUMLAH]]*NOTA[[#This Row],[DISC 1]])</f>
        <v>105000</v>
      </c>
      <c r="Z458" s="50">
        <f>IF(NOTA[[#This Row],[JUMLAH]]="","",(NOTA[[#This Row],[JUMLAH]]-NOTA[[#This Row],[DISC 1-]])*NOTA[[#This Row],[DISC 2]])</f>
        <v>199500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304500</v>
      </c>
      <c r="AC458" s="50">
        <f>IF(NOTA[[#This Row],[JUMLAH]]="","",NOTA[[#This Row],[JUMLAH]]-NOTA[[#This Row],[DISC]])</f>
        <v>1795500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1873980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11050020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8" s="50">
        <f>IF(OR(NOTA[[#This Row],[QTY]]="",NOTA[[#This Row],[HARGA SATUAN]]="",),"",NOTA[[#This Row],[QTY]]*NOTA[[#This Row],[HARGA SATUAN]])</f>
        <v>2100000</v>
      </c>
      <c r="AI458" s="39">
        <f ca="1">IF(NOTA[ID_H]="","",INDEX(NOTA[TANGGAL],MATCH(,INDIRECT(ADDRESS(ROW(NOTA[TANGGAL]),COLUMN(NOTA[TANGGAL]))&amp;":"&amp;ADDRESS(ROW(),COLUMN(NOTA[TANGGAL]))),-1)))</f>
        <v>45282</v>
      </c>
      <c r="AJ458" s="41" t="str">
        <f ca="1">IF(NOTA[[#This Row],[NAMA BARANG]]="","",INDEX(NOTA[SUPPLIER],MATCH(,INDIRECT(ADDRESS(ROW(NOTA[ID]),COLUMN(NOTA[ID]))&amp;":"&amp;ADDRESS(ROW(),COLUMN(NOTA[ID]))),-1)))</f>
        <v>GUNINDO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12</v>
      </c>
      <c r="AN458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2193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30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MSI_2212_248-1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92</v>
      </c>
      <c r="E460" s="46">
        <v>45282</v>
      </c>
      <c r="F460" s="37" t="s">
        <v>370</v>
      </c>
      <c r="G460" s="37" t="s">
        <v>127</v>
      </c>
      <c r="H460" s="47" t="s">
        <v>522</v>
      </c>
      <c r="I460" s="37"/>
      <c r="J460" s="39">
        <v>45276</v>
      </c>
      <c r="K460" s="37"/>
      <c r="L460" s="37" t="s">
        <v>523</v>
      </c>
      <c r="M460" s="40">
        <v>5</v>
      </c>
      <c r="N460" s="38">
        <v>500</v>
      </c>
      <c r="O460" s="37" t="s">
        <v>152</v>
      </c>
      <c r="P460" s="41">
        <v>12500</v>
      </c>
      <c r="Q460" s="42"/>
      <c r="R460" s="48" t="s">
        <v>374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6250000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6250000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6250000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460" s="50">
        <f>IF(OR(NOTA[[#This Row],[QTY]]="",NOTA[[#This Row],[HARGA SATUAN]]="",),"",NOTA[[#This Row],[QTY]]*NOTA[[#This Row],[HARGA SATUAN]])</f>
        <v>6250000</v>
      </c>
      <c r="AI460" s="39">
        <f ca="1">IF(NOTA[ID_H]="","",INDEX(NOTA[TANGGAL],MATCH(,INDIRECT(ADDRESS(ROW(NOTA[TANGGAL]),COLUMN(NOTA[TANGGAL]))&amp;":"&amp;ADDRESS(ROW(),COLUMN(NOTA[TANGGAL]))),-1)))</f>
        <v>45282</v>
      </c>
      <c r="AJ460" s="41" t="str">
        <f ca="1">IF(NOTA[[#This Row],[NAMA BARANG]]="","",INDEX(NOTA[SUPPLIER],MATCH(,INDIRECT(ADDRESS(ROW(NOTA[ID]),COLUMN(NOTA[ID]))&amp;":"&amp;ADDRESS(ROW(),COLUMN(NOTA[ID]))),-1)))</f>
        <v>MSI</v>
      </c>
      <c r="AK460" s="41" t="str">
        <f ca="1">IF(NOTA[[#This Row],[ID_H]]="","",IF(NOTA[[#This Row],[FAKTUR]]="",INDIRECT(ADDRESS(ROW()-1,COLUMN())),NOTA[[#This Row],[FAKTUR]]))</f>
        <v>UNTANA</v>
      </c>
      <c r="AL460" s="38">
        <f ca="1">IF(NOTA[[#This Row],[ID]]="","",COUNTIF(NOTA[ID_H],NOTA[[#This Row],[ID_H]]))</f>
        <v>1</v>
      </c>
      <c r="AM460" s="38">
        <f>IF(NOTA[[#This Row],[TGL.NOTA]]="",IF(NOTA[[#This Row],[SUPPLIER_H]]="","",AM459),MONTH(NOTA[[#This Row],[TGL.NOTA]]))</f>
        <v>12</v>
      </c>
      <c r="AN460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MSIUNTANA23/XII/24845276watercolorspaintvtro</v>
      </c>
      <c r="AR460" s="38" t="e">
        <f>IF(NOTA[[#This Row],[CONCAT4]]="","",_xlfn.IFNA(MATCH(NOTA[[#This Row],[CONCAT4]],[2]!RAW[CONCAT_H],0),FALSE))</f>
        <v>#REF!</v>
      </c>
      <c r="AS460" s="38">
        <f>IF(NOTA[[#This Row],[CONCAT1]]="","",MATCH(NOTA[[#This Row],[CONCAT1]],[3]!db[NB NOTA_C],0))</f>
        <v>3075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100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DBS_2212_723-16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93</v>
      </c>
      <c r="E462" s="46">
        <v>45282</v>
      </c>
      <c r="F462" s="37" t="s">
        <v>131</v>
      </c>
      <c r="G462" s="37" t="s">
        <v>127</v>
      </c>
      <c r="H462" s="47" t="s">
        <v>524</v>
      </c>
      <c r="I462" s="37"/>
      <c r="J462" s="39">
        <v>45278</v>
      </c>
      <c r="K462" s="37"/>
      <c r="L462" s="37" t="s">
        <v>525</v>
      </c>
      <c r="M462" s="40">
        <v>3</v>
      </c>
      <c r="N462" s="38">
        <v>288</v>
      </c>
      <c r="O462" s="37" t="s">
        <v>130</v>
      </c>
      <c r="P462" s="41">
        <v>31500</v>
      </c>
      <c r="Q462" s="42"/>
      <c r="R462" s="48" t="s">
        <v>133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9072000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9072000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62" s="50">
        <f>IF(OR(NOTA[[#This Row],[QTY]]="",NOTA[[#This Row],[HARGA SATUAN]]="",),"",NOTA[[#This Row],[QTY]]*NOTA[[#This Row],[HARGA SATUAN]])</f>
        <v>9072000</v>
      </c>
      <c r="AI462" s="39">
        <f ca="1">IF(NOTA[ID_H]="","",INDEX(NOTA[TANGGAL],MATCH(,INDIRECT(ADDRESS(ROW(NOTA[TANGGAL]),COLUMN(NOTA[TANGGAL]))&amp;":"&amp;ADDRESS(ROW(),COLUMN(NOTA[TANGGAL]))),-1)))</f>
        <v>45282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16</v>
      </c>
      <c r="AM462" s="38">
        <f>IF(NOTA[[#This Row],[TGL.NOTA]]="",IF(NOTA[[#This Row],[SUPPLIER_H]]="","",AM461),MONTH(NOTA[[#This Row],[TGL.NOTA]]))</f>
        <v>12</v>
      </c>
      <c r="AN462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STATIONERYUNTANAJUL357/2345278gelpentizo10tg340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1097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96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93</v>
      </c>
      <c r="E463" s="46"/>
      <c r="F463" s="37"/>
      <c r="G463" s="37"/>
      <c r="H463" s="47"/>
      <c r="I463" s="37"/>
      <c r="J463" s="39"/>
      <c r="K463" s="37"/>
      <c r="L463" s="37" t="s">
        <v>526</v>
      </c>
      <c r="M463" s="40">
        <v>2</v>
      </c>
      <c r="N463" s="38">
        <v>288</v>
      </c>
      <c r="O463" s="37" t="s">
        <v>130</v>
      </c>
      <c r="P463" s="41">
        <v>18250</v>
      </c>
      <c r="Q463" s="42"/>
      <c r="R463" s="48" t="s">
        <v>138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5256000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5256000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5256000</v>
      </c>
      <c r="AI463" s="39">
        <f ca="1">IF(NOTA[ID_H]="","",INDEX(NOTA[TANGGAL],MATCH(,INDIRECT(ADDRESS(ROW(NOTA[TANGGAL]),COLUMN(NOTA[TANGGAL]))&amp;":"&amp;ADDRESS(ROW(),COLUMN(NOTA[TANGGAL]))),-1)))</f>
        <v>45282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12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1141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93</v>
      </c>
      <c r="E464" s="46"/>
      <c r="F464" s="37"/>
      <c r="G464" s="37"/>
      <c r="H464" s="47"/>
      <c r="I464" s="37"/>
      <c r="J464" s="39"/>
      <c r="K464" s="37"/>
      <c r="L464" s="37" t="s">
        <v>527</v>
      </c>
      <c r="M464" s="40">
        <v>1</v>
      </c>
      <c r="N464" s="38">
        <v>144</v>
      </c>
      <c r="O464" s="37" t="s">
        <v>130</v>
      </c>
      <c r="P464" s="41">
        <v>18250</v>
      </c>
      <c r="Q464" s="42"/>
      <c r="R464" s="48" t="s">
        <v>138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45282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12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e">
        <f>IF(NOTA[[#This Row],[CONCAT1]]="","",MATCH(NOTA[[#This Row],[CONCAT1]],[3]!db[NB NOTA_C],0))</f>
        <v>#N/A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93</v>
      </c>
      <c r="E465" s="46"/>
      <c r="F465" s="37"/>
      <c r="G465" s="37"/>
      <c r="H465" s="47"/>
      <c r="I465" s="37"/>
      <c r="J465" s="39"/>
      <c r="K465" s="37"/>
      <c r="L465" s="37" t="s">
        <v>528</v>
      </c>
      <c r="M465" s="40">
        <v>1</v>
      </c>
      <c r="N465" s="38">
        <v>144</v>
      </c>
      <c r="O465" s="37" t="s">
        <v>130</v>
      </c>
      <c r="P465" s="41">
        <v>18250</v>
      </c>
      <c r="Q465" s="42"/>
      <c r="R465" s="48" t="s">
        <v>138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45282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12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1155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CTN]],INDEX([3]!db[QTY/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93</v>
      </c>
      <c r="E466" s="46"/>
      <c r="F466" s="37"/>
      <c r="G466" s="37"/>
      <c r="H466" s="47"/>
      <c r="I466" s="37"/>
      <c r="J466" s="39"/>
      <c r="K466" s="37"/>
      <c r="L466" s="37" t="s">
        <v>529</v>
      </c>
      <c r="M466" s="40">
        <v>1</v>
      </c>
      <c r="N466" s="38">
        <v>144</v>
      </c>
      <c r="O466" s="37" t="s">
        <v>130</v>
      </c>
      <c r="P466" s="41">
        <v>18250</v>
      </c>
      <c r="Q466" s="42"/>
      <c r="R466" s="48" t="s">
        <v>138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45282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12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1132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93</v>
      </c>
      <c r="E467" s="46"/>
      <c r="F467" s="37"/>
      <c r="G467" s="37"/>
      <c r="H467" s="47"/>
      <c r="I467" s="37"/>
      <c r="J467" s="39"/>
      <c r="K467" s="37"/>
      <c r="L467" s="37" t="s">
        <v>530</v>
      </c>
      <c r="M467" s="40">
        <v>1</v>
      </c>
      <c r="N467" s="38">
        <v>144</v>
      </c>
      <c r="O467" s="37" t="s">
        <v>130</v>
      </c>
      <c r="P467" s="41">
        <v>18250</v>
      </c>
      <c r="Q467" s="42"/>
      <c r="R467" s="48" t="s">
        <v>138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45282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12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93</v>
      </c>
      <c r="E468" s="46"/>
      <c r="F468" s="37"/>
      <c r="G468" s="37"/>
      <c r="H468" s="47"/>
      <c r="I468" s="37"/>
      <c r="J468" s="39"/>
      <c r="K468" s="37"/>
      <c r="L468" s="37" t="s">
        <v>531</v>
      </c>
      <c r="M468" s="40">
        <v>2</v>
      </c>
      <c r="N468" s="38">
        <v>288</v>
      </c>
      <c r="O468" s="37" t="s">
        <v>130</v>
      </c>
      <c r="P468" s="41">
        <v>18250</v>
      </c>
      <c r="Q468" s="42"/>
      <c r="R468" s="48" t="s">
        <v>138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5256000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5256000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5256000</v>
      </c>
      <c r="AI468" s="39">
        <f ca="1">IF(NOTA[ID_H]="","",INDEX(NOTA[TANGGAL],MATCH(,INDIRECT(ADDRESS(ROW(NOTA[TANGGAL]),COLUMN(NOTA[TANGGAL]))&amp;":"&amp;ADDRESS(ROW(),COLUMN(NOTA[TANGGAL]))),-1)))</f>
        <v>45282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12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>
        <f>IF(NOTA[[#This Row],[CONCAT1]]="","",MATCH(NOTA[[#This Row],[CONCAT1]],[3]!db[NB NOTA_C],0))</f>
        <v>1166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93</v>
      </c>
      <c r="E469" s="46"/>
      <c r="F469" s="37"/>
      <c r="G469" s="37"/>
      <c r="H469" s="47"/>
      <c r="I469" s="37"/>
      <c r="J469" s="39"/>
      <c r="K469" s="37"/>
      <c r="L469" s="37" t="s">
        <v>532</v>
      </c>
      <c r="M469" s="40">
        <v>1</v>
      </c>
      <c r="N469" s="38">
        <v>144</v>
      </c>
      <c r="O469" s="37" t="s">
        <v>130</v>
      </c>
      <c r="P469" s="41">
        <v>18250</v>
      </c>
      <c r="Q469" s="42"/>
      <c r="R469" s="48" t="s">
        <v>138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45282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12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93</v>
      </c>
      <c r="E470" s="46"/>
      <c r="F470" s="37"/>
      <c r="G470" s="37"/>
      <c r="H470" s="47"/>
      <c r="I470" s="37"/>
      <c r="J470" s="39"/>
      <c r="K470" s="37"/>
      <c r="L470" s="37" t="s">
        <v>533</v>
      </c>
      <c r="M470" s="40">
        <v>1</v>
      </c>
      <c r="N470" s="38">
        <v>144</v>
      </c>
      <c r="O470" s="37" t="s">
        <v>130</v>
      </c>
      <c r="P470" s="41">
        <v>18250</v>
      </c>
      <c r="Q470" s="42"/>
      <c r="R470" s="48" t="s">
        <v>138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45282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12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1176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93</v>
      </c>
      <c r="E471" s="46"/>
      <c r="F471" s="37"/>
      <c r="G471" s="37"/>
      <c r="H471" s="47"/>
      <c r="I471" s="37"/>
      <c r="J471" s="39"/>
      <c r="K471" s="37"/>
      <c r="L471" s="37" t="s">
        <v>534</v>
      </c>
      <c r="M471" s="40">
        <v>1</v>
      </c>
      <c r="N471" s="38">
        <v>144</v>
      </c>
      <c r="O471" s="37" t="s">
        <v>130</v>
      </c>
      <c r="P471" s="41">
        <v>18250</v>
      </c>
      <c r="Q471" s="42"/>
      <c r="R471" s="48" t="s">
        <v>138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2628000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2628000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1" s="50">
        <f>IF(OR(NOTA[[#This Row],[QTY]]="",NOTA[[#This Row],[HARGA SATUAN]]="",),"",NOTA[[#This Row],[QTY]]*NOTA[[#This Row],[HARGA SATUAN]])</f>
        <v>2628000</v>
      </c>
      <c r="AI471" s="39">
        <f ca="1">IF(NOTA[ID_H]="","",INDEX(NOTA[TANGGAL],MATCH(,INDIRECT(ADDRESS(ROW(NOTA[TANGGAL]),COLUMN(NOTA[TANGGAL]))&amp;":"&amp;ADDRESS(ROW(),COLUMN(NOTA[TANGGAL]))),-1)))</f>
        <v>45282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12</v>
      </c>
      <c r="AN471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>
        <f>IF(NOTA[[#This Row],[CONCAT1]]="","",MATCH(NOTA[[#This Row],[CONCAT1]],[3]!db[NB NOTA_C],0))</f>
        <v>1189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93</v>
      </c>
      <c r="E472" s="46"/>
      <c r="F472" s="37"/>
      <c r="G472" s="37"/>
      <c r="H472" s="47"/>
      <c r="I472" s="37"/>
      <c r="J472" s="39"/>
      <c r="K472" s="37"/>
      <c r="L472" s="37" t="s">
        <v>535</v>
      </c>
      <c r="M472" s="40">
        <v>1</v>
      </c>
      <c r="N472" s="38">
        <v>144</v>
      </c>
      <c r="O472" s="37" t="s">
        <v>130</v>
      </c>
      <c r="P472" s="41">
        <v>18250</v>
      </c>
      <c r="Q472" s="42"/>
      <c r="R472" s="48" t="s">
        <v>138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2628000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2628000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2" s="50">
        <f>IF(OR(NOTA[[#This Row],[QTY]]="",NOTA[[#This Row],[HARGA SATUAN]]="",),"",NOTA[[#This Row],[QTY]]*NOTA[[#This Row],[HARGA SATUAN]])</f>
        <v>2628000</v>
      </c>
      <c r="AI472" s="39">
        <f ca="1">IF(NOTA[ID_H]="","",INDEX(NOTA[TANGGAL],MATCH(,INDIRECT(ADDRESS(ROW(NOTA[TANGGAL]),COLUMN(NOTA[TANGGAL]))&amp;":"&amp;ADDRESS(ROW(),COLUMN(NOTA[TANGGAL]))),-1)))</f>
        <v>45282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12</v>
      </c>
      <c r="AN472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>
        <f>IF(NOTA[[#This Row],[CONCAT1]]="","",MATCH(NOTA[[#This Row],[CONCAT1]],[3]!db[NB NOTA_C],0))</f>
        <v>1193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93</v>
      </c>
      <c r="E473" s="46"/>
      <c r="F473" s="37"/>
      <c r="G473" s="37"/>
      <c r="H473" s="47"/>
      <c r="I473" s="37"/>
      <c r="J473" s="39"/>
      <c r="K473" s="37"/>
      <c r="L473" s="37" t="s">
        <v>536</v>
      </c>
      <c r="M473" s="40">
        <v>1</v>
      </c>
      <c r="N473" s="38">
        <v>144</v>
      </c>
      <c r="O473" s="37" t="s">
        <v>130</v>
      </c>
      <c r="P473" s="41">
        <v>18250</v>
      </c>
      <c r="Q473" s="42"/>
      <c r="R473" s="48" t="s">
        <v>138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2628000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2628000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3" s="50">
        <f>IF(OR(NOTA[[#This Row],[QTY]]="",NOTA[[#This Row],[HARGA SATUAN]]="",),"",NOTA[[#This Row],[QTY]]*NOTA[[#This Row],[HARGA SATUAN]])</f>
        <v>2628000</v>
      </c>
      <c r="AI473" s="39">
        <f ca="1">IF(NOTA[ID_H]="","",INDEX(NOTA[TANGGAL],MATCH(,INDIRECT(ADDRESS(ROW(NOTA[TANGGAL]),COLUMN(NOTA[TANGGAL]))&amp;":"&amp;ADDRESS(ROW(),COLUMN(NOTA[TANGGAL]))),-1)))</f>
        <v>45282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>
        <f ca="1">IF(NOTA[[#This Row],[TGL.NOTA]]="",IF(NOTA[[#This Row],[SUPPLIER_H]]="","",AM472),MONTH(NOTA[[#This Row],[TGL.NOTA]]))</f>
        <v>12</v>
      </c>
      <c r="AN473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e">
        <f>IF(NOTA[[#This Row],[CONCAT1]]="","",MATCH(NOTA[[#This Row],[CONCAT1]],[3]!db[NB NOTA_C],0))</f>
        <v>#N/A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93</v>
      </c>
      <c r="E474" s="46"/>
      <c r="F474" s="37"/>
      <c r="G474" s="37"/>
      <c r="H474" s="37"/>
      <c r="I474" s="37"/>
      <c r="J474" s="39"/>
      <c r="K474" s="37"/>
      <c r="L474" s="37" t="s">
        <v>537</v>
      </c>
      <c r="M474" s="40">
        <v>1</v>
      </c>
      <c r="N474" s="38">
        <v>144</v>
      </c>
      <c r="O474" s="37" t="s">
        <v>130</v>
      </c>
      <c r="P474" s="41">
        <v>18250</v>
      </c>
      <c r="Q474" s="42"/>
      <c r="R474" s="48" t="s">
        <v>138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2628000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2628000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4" s="50">
        <f>IF(OR(NOTA[[#This Row],[QTY]]="",NOTA[[#This Row],[HARGA SATUAN]]="",),"",NOTA[[#This Row],[QTY]]*NOTA[[#This Row],[HARGA SATUAN]])</f>
        <v>2628000</v>
      </c>
      <c r="AI474" s="39">
        <f ca="1">IF(NOTA[ID_H]="","",INDEX(NOTA[TANGGAL],MATCH(,INDIRECT(ADDRESS(ROW(NOTA[TANGGAL]),COLUMN(NOTA[TANGGAL]))&amp;":"&amp;ADDRESS(ROW(),COLUMN(NOTA[TANGGAL]))),-1)))</f>
        <v>45282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12</v>
      </c>
      <c r="AN474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e">
        <f>IF(NOTA[[#This Row],[CONCAT1]]="","",MATCH(NOTA[[#This Row],[CONCAT1]],[3]!db[NB NOTA_C],0))</f>
        <v>#N/A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144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93</v>
      </c>
      <c r="E475" s="46"/>
      <c r="F475" s="37"/>
      <c r="G475" s="37"/>
      <c r="H475" s="47"/>
      <c r="I475" s="37"/>
      <c r="J475" s="39"/>
      <c r="K475" s="37"/>
      <c r="L475" s="37" t="s">
        <v>538</v>
      </c>
      <c r="M475" s="40">
        <v>1</v>
      </c>
      <c r="N475" s="38">
        <v>144</v>
      </c>
      <c r="O475" s="37" t="s">
        <v>130</v>
      </c>
      <c r="P475" s="41">
        <v>18250</v>
      </c>
      <c r="Q475" s="42"/>
      <c r="R475" s="48" t="s">
        <v>138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2628000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2628000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5" s="50">
        <f>IF(OR(NOTA[[#This Row],[QTY]]="",NOTA[[#This Row],[HARGA SATUAN]]="",),"",NOTA[[#This Row],[QTY]]*NOTA[[#This Row],[HARGA SATUAN]])</f>
        <v>2628000</v>
      </c>
      <c r="AI475" s="39">
        <f ca="1">IF(NOTA[ID_H]="","",INDEX(NOTA[TANGGAL],MATCH(,INDIRECT(ADDRESS(ROW(NOTA[TANGGAL]),COLUMN(NOTA[TANGGAL]))&amp;":"&amp;ADDRESS(ROW(),COLUMN(NOTA[TANGGAL]))),-1)))</f>
        <v>45282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12</v>
      </c>
      <c r="AN475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e">
        <f>IF(NOTA[[#This Row],[CONCAT1]]="","",MATCH(NOTA[[#This Row],[CONCAT1]],[3]!db[NB NOTA_C],0))</f>
        <v>#N/A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144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93</v>
      </c>
      <c r="E476" s="46"/>
      <c r="F476" s="37"/>
      <c r="G476" s="37"/>
      <c r="H476" s="47"/>
      <c r="I476" s="37"/>
      <c r="J476" s="39"/>
      <c r="K476" s="37"/>
      <c r="L476" s="37" t="s">
        <v>539</v>
      </c>
      <c r="M476" s="40">
        <v>1</v>
      </c>
      <c r="N476" s="38">
        <v>144</v>
      </c>
      <c r="O476" s="37" t="s">
        <v>130</v>
      </c>
      <c r="P476" s="41"/>
      <c r="Q476" s="42"/>
      <c r="R476" s="48" t="s">
        <v>138</v>
      </c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45282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12</v>
      </c>
      <c r="AN476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e">
        <f>IF(NOTA[[#This Row],[CONCAT1]]="","",MATCH(NOTA[[#This Row],[CONCAT1]],[3]!db[NB NOTA_C],0))</f>
        <v>#N/A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93</v>
      </c>
      <c r="E477" s="46"/>
      <c r="F477" s="37"/>
      <c r="G477" s="37"/>
      <c r="H477" s="47"/>
      <c r="I477" s="37"/>
      <c r="J477" s="39"/>
      <c r="K477" s="37"/>
      <c r="L477" s="37" t="s">
        <v>540</v>
      </c>
      <c r="M477" s="40"/>
      <c r="N477" s="38">
        <v>1</v>
      </c>
      <c r="O477" s="37" t="s">
        <v>152</v>
      </c>
      <c r="P477" s="41"/>
      <c r="Q477" s="42"/>
      <c r="R477" s="48" t="s">
        <v>541</v>
      </c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48492000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45282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12</v>
      </c>
      <c r="AN477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e">
        <f>IF(NOTA[[#This Row],[CONCAT1]]="","",MATCH(NOTA[[#This Row],[CONCAT1]],[3]!db[NB NOTA_C],0))</f>
        <v>#N/A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 PCS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tascabinelpidaepcb0071pcsuntana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PMJ_2212_-3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94</v>
      </c>
      <c r="E479" s="46">
        <v>45282</v>
      </c>
      <c r="F479" s="37" t="s">
        <v>542</v>
      </c>
      <c r="G479" s="37" t="s">
        <v>127</v>
      </c>
      <c r="H479" s="47"/>
      <c r="I479" s="37"/>
      <c r="J479" s="39">
        <v>45276</v>
      </c>
      <c r="K479" s="37"/>
      <c r="L479" s="37" t="s">
        <v>544</v>
      </c>
      <c r="M479" s="40">
        <v>1</v>
      </c>
      <c r="N479" s="38">
        <v>16</v>
      </c>
      <c r="O479" s="37" t="s">
        <v>130</v>
      </c>
      <c r="P479" s="41">
        <v>47000</v>
      </c>
      <c r="Q479" s="42"/>
      <c r="R479" s="48" t="s">
        <v>543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752000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752000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479" s="50">
        <f>IF(OR(NOTA[[#This Row],[QTY]]="",NOTA[[#This Row],[HARGA SATUAN]]="",),"",NOTA[[#This Row],[QTY]]*NOTA[[#This Row],[HARGA SATUAN]])</f>
        <v>752000</v>
      </c>
      <c r="AI479" s="39">
        <f ca="1">IF(NOTA[ID_H]="","",INDEX(NOTA[TANGGAL],MATCH(,INDIRECT(ADDRESS(ROW(NOTA[TANGGAL]),COLUMN(NOTA[TANGGAL]))&amp;":"&amp;ADDRESS(ROW(),COLUMN(NOTA[TANGGAL]))),-1)))</f>
        <v>45282</v>
      </c>
      <c r="AJ479" s="41" t="str">
        <f ca="1">IF(NOTA[[#This Row],[NAMA BARANG]]="","",INDEX(NOTA[SUPPLIER],MATCH(,INDIRECT(ADDRESS(ROW(NOTA[ID]),COLUMN(NOTA[ID]))&amp;":"&amp;ADDRESS(ROW(),COLUMN(NOTA[ID]))),-1)))</f>
        <v>PMJP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3</v>
      </c>
      <c r="AM479" s="38">
        <f>IF(NOTA[[#This Row],[TGL.NOTA]]="",IF(NOTA[[#This Row],[SUPPLIER_H]]="","",AM478),MONTH(NOTA[[#This Row],[TGL.NOTA]]))</f>
        <v>12</v>
      </c>
      <c r="AN479" s="38" t="str">
        <f>LOWER(SUBSTITUTE(SUBSTITUTE(SUBSTITUTE(SUBSTITUTE(SUBSTITUTE(SUBSTITUTE(SUBSTITUTE(SUBSTITUTE(SUBSTITUTE(NOTA[NAMA BARANG]," ",),".",""),"-",""),"(",""),")",""),",",""),"/",""),"""",""),"+",""))</f>
        <v>celengans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PMJPUNTANA45276celengans</v>
      </c>
      <c r="AR479" s="38" t="e">
        <f>IF(NOTA[[#This Row],[CONCAT4]]="","",_xlfn.IFNA(MATCH(NOTA[[#This Row],[CONCAT4]],[2]!RAW[CONCAT_H],0),FALSE))</f>
        <v>#REF!</v>
      </c>
      <c r="AS479" s="38">
        <f>IF(NOTA[[#This Row],[CONCAT1]]="","",MATCH(NOTA[[#This Row],[CONCAT1]],[3]!db[NB NOTA_C],0))</f>
        <v>645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16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94</v>
      </c>
      <c r="E480" s="46"/>
      <c r="F480" s="37"/>
      <c r="G480" s="37"/>
      <c r="H480" s="47"/>
      <c r="I480" s="37"/>
      <c r="J480" s="39"/>
      <c r="K480" s="37"/>
      <c r="L480" s="37" t="s">
        <v>545</v>
      </c>
      <c r="M480" s="40">
        <v>1</v>
      </c>
      <c r="N480" s="38">
        <v>10</v>
      </c>
      <c r="O480" s="37" t="s">
        <v>130</v>
      </c>
      <c r="P480" s="41">
        <v>70000</v>
      </c>
      <c r="Q480" s="42"/>
      <c r="R480" s="48" t="s">
        <v>546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700000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700000</v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480" s="50">
        <f>IF(OR(NOTA[[#This Row],[QTY]]="",NOTA[[#This Row],[HARGA SATUAN]]="",),"",NOTA[[#This Row],[QTY]]*NOTA[[#This Row],[HARGA SATUAN]])</f>
        <v>700000</v>
      </c>
      <c r="AI480" s="39">
        <f ca="1">IF(NOTA[ID_H]="","",INDEX(NOTA[TANGGAL],MATCH(,INDIRECT(ADDRESS(ROW(NOTA[TANGGAL]),COLUMN(NOTA[TANGGAL]))&amp;":"&amp;ADDRESS(ROW(),COLUMN(NOTA[TANGGAL]))),-1)))</f>
        <v>45282</v>
      </c>
      <c r="AJ480" s="41" t="str">
        <f ca="1">IF(NOTA[[#This Row],[NAMA BARANG]]="","",INDEX(NOTA[SUPPLIER],MATCH(,INDIRECT(ADDRESS(ROW(NOTA[ID]),COLUMN(NOTA[ID]))&amp;":"&amp;ADDRESS(ROW(),COLUMN(NOTA[ID]))),-1)))</f>
        <v>PMJP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>
        <f ca="1">IF(NOTA[[#This Row],[TGL.NOTA]]="",IF(NOTA[[#This Row],[SUPPLIER_H]]="","",AM479),MONTH(NOTA[[#This Row],[TGL.NOTA]]))</f>
        <v>12</v>
      </c>
      <c r="AN480" s="38" t="str">
        <f>LOWER(SUBSTITUTE(SUBSTITUTE(SUBSTITUTE(SUBSTITUTE(SUBSTITUTE(SUBSTITUTE(SUBSTITUTE(SUBSTITUTE(SUBSTITUTE(NOTA[NAMA BARANG]," ",),".",""),"-",""),"(",""),")",""),",",""),"/",""),"""",""),"+",""))</f>
        <v>celenganl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>
        <f>IF(NOTA[[#This Row],[CONCAT1]]="","",MATCH(NOTA[[#This Row],[CONCAT1]],[3]!db[NB NOTA_C],0))</f>
        <v>643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CTN]],INDEX([3]!db[QTY/ CTN],NOTA[[#This Row],[//DB]])))</f>
        <v>10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480" s="38" t="e">
        <f ca="1">IF(NOTA[[#This Row],[ID_H]]="","",MATCH(NOTA[[#This Row],[NB NOTA_C_QTY]],[4]!db[NB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94</v>
      </c>
      <c r="E481" s="46"/>
      <c r="F481" s="37"/>
      <c r="G481" s="37"/>
      <c r="H481" s="47"/>
      <c r="I481" s="37"/>
      <c r="J481" s="39"/>
      <c r="K481" s="37"/>
      <c r="L481" s="37" t="s">
        <v>547</v>
      </c>
      <c r="M481" s="40">
        <v>1</v>
      </c>
      <c r="N481" s="38">
        <v>6</v>
      </c>
      <c r="O481" s="37" t="s">
        <v>130</v>
      </c>
      <c r="P481" s="41">
        <v>85000</v>
      </c>
      <c r="Q481" s="42"/>
      <c r="R481" s="48" t="s">
        <v>548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510000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510000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1962000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81" s="50">
        <f>IF(OR(NOTA[[#This Row],[QTY]]="",NOTA[[#This Row],[HARGA SATUAN]]="",),"",NOTA[[#This Row],[QTY]]*NOTA[[#This Row],[HARGA SATUAN]])</f>
        <v>510000</v>
      </c>
      <c r="AI481" s="39">
        <f ca="1">IF(NOTA[ID_H]="","",INDEX(NOTA[TANGGAL],MATCH(,INDIRECT(ADDRESS(ROW(NOTA[TANGGAL]),COLUMN(NOTA[TANGGAL]))&amp;":"&amp;ADDRESS(ROW(),COLUMN(NOTA[TANGGAL]))),-1)))</f>
        <v>45282</v>
      </c>
      <c r="AJ481" s="41" t="str">
        <f ca="1">IF(NOTA[[#This Row],[NAMA BARANG]]="","",INDEX(NOTA[SUPPLIER],MATCH(,INDIRECT(ADDRESS(ROW(NOTA[ID]),COLUMN(NOTA[ID]))&amp;":"&amp;ADDRESS(ROW(),COLUMN(NOTA[ID]))),-1)))</f>
        <v>PMJP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>
        <f ca="1">IF(NOTA[[#This Row],[TGL.NOTA]]="",IF(NOTA[[#This Row],[SUPPLIER_H]]="","",AM480),MONTH(NOTA[[#This Row],[TGL.NOTA]]))</f>
        <v>12</v>
      </c>
      <c r="AN481" s="38" t="str">
        <f>LOWER(SUBSTITUTE(SUBSTITUTE(SUBSTITUTE(SUBSTITUTE(SUBSTITUTE(SUBSTITUTE(SUBSTITUTE(SUBSTITUTE(SUBSTITUTE(NOTA[NAMA BARANG]," ",),".",""),"-",""),"(",""),")",""),",",""),"/",""),"""",""),"+",""))</f>
        <v>celenganxl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646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SIN_1312_238-1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95</v>
      </c>
      <c r="E483" s="46">
        <v>45273</v>
      </c>
      <c r="F483" s="37" t="s">
        <v>549</v>
      </c>
      <c r="G483" s="37" t="s">
        <v>127</v>
      </c>
      <c r="H483" s="47" t="s">
        <v>550</v>
      </c>
      <c r="I483" s="37"/>
      <c r="J483" s="39">
        <v>45278</v>
      </c>
      <c r="K483" s="37"/>
      <c r="L483" s="37" t="s">
        <v>551</v>
      </c>
      <c r="M483" s="40">
        <v>10</v>
      </c>
      <c r="N483" s="38">
        <v>1200</v>
      </c>
      <c r="O483" s="37" t="s">
        <v>175</v>
      </c>
      <c r="P483" s="41">
        <v>11000</v>
      </c>
      <c r="Q483" s="42"/>
      <c r="R483" s="48" t="s">
        <v>552</v>
      </c>
      <c r="S483" s="49"/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13200000</v>
      </c>
      <c r="Y483" s="50">
        <f>IF(NOTA[[#This Row],[JUMLAH]]="","",NOTA[[#This Row],[JUMLAH]]*NOTA[[#This Row],[DISC 1]])</f>
        <v>0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0</v>
      </c>
      <c r="AC483" s="50">
        <f>IF(NOTA[[#This Row],[JUMLAH]]="","",NOTA[[#This Row],[JUMLAH]]-NOTA[[#This Row],[DISC]])</f>
        <v>13200000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483" s="50">
        <f>IF(OR(NOTA[[#This Row],[QTY]]="",NOTA[[#This Row],[HARGA SATUAN]]="",),"",NOTA[[#This Row],[QTY]]*NOTA[[#This Row],[HARGA SATUAN]])</f>
        <v>13200000</v>
      </c>
      <c r="AI483" s="39">
        <f ca="1">IF(NOTA[ID_H]="","",INDEX(NOTA[TANGGAL],MATCH(,INDIRECT(ADDRESS(ROW(NOTA[TANGGAL]),COLUMN(NOTA[TANGGAL]))&amp;":"&amp;ADDRESS(ROW(),COLUMN(NOTA[TANGGAL]))),-1)))</f>
        <v>45273</v>
      </c>
      <c r="AJ483" s="41" t="str">
        <f ca="1">IF(NOTA[[#This Row],[NAMA BARANG]]="","",INDEX(NOTA[SUPPLIER],MATCH(,INDIRECT(ADDRESS(ROW(NOTA[ID]),COLUMN(NOTA[ID]))&amp;":"&amp;ADDRESS(ROW(),COLUMN(NOTA[ID]))),-1)))</f>
        <v>SINAR PACMAN INDONESIA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12</v>
      </c>
      <c r="AN483" s="38" t="str">
        <f>LOWER(SUBSTITUTE(SUBSTITUTE(SUBSTITUTE(SUBSTITUTE(SUBSTITUTE(SUBSTITUTE(SUBSTITUTE(SUBSTITUTE(SUBSTITUTE(NOTA[NAMA BARANG]," ",),".",""),"-",""),"(",""),")",""),",",""),"/",""),"""",""),"+",""))</f>
        <v>watercolourkuaspacman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watercolourkuaspacman1320000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watercolourkuaspacman1320000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INDONESIAUNTANAINV-23/12/023845278watercolourkuaspacman</v>
      </c>
      <c r="AR483" s="38" t="e">
        <f>IF(NOTA[[#This Row],[CONCAT4]]="","",_xlfn.IFNA(MATCH(NOTA[[#This Row],[CONCAT4]],[2]!RAW[CONCAT_H],0),FALSE))</f>
        <v>#REF!</v>
      </c>
      <c r="AS483" s="38" t="e">
        <f>IF(NOTA[[#This Row],[CONCAT1]]="","",MATCH(NOTA[[#This Row],[CONCAT1]],[3]!db[NB NOTA_C],0))</f>
        <v>#N/A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BOX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watercolourkuaspacman120boxuntana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COM_2112_223-1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96</v>
      </c>
      <c r="E485" s="46">
        <v>45281</v>
      </c>
      <c r="F485" s="37" t="s">
        <v>146</v>
      </c>
      <c r="G485" s="37" t="s">
        <v>127</v>
      </c>
      <c r="H485" s="47" t="s">
        <v>553</v>
      </c>
      <c r="I485" s="37"/>
      <c r="J485" s="39">
        <v>45281</v>
      </c>
      <c r="K485" s="37"/>
      <c r="L485" s="37" t="s">
        <v>148</v>
      </c>
      <c r="M485" s="40">
        <v>1</v>
      </c>
      <c r="N485" s="38">
        <v>8</v>
      </c>
      <c r="O485" s="37" t="s">
        <v>130</v>
      </c>
      <c r="P485" s="41">
        <v>180000</v>
      </c>
      <c r="Q485" s="42"/>
      <c r="R485" s="48" t="s">
        <v>251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1440000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1440000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85" s="50">
        <f>IF(OR(NOTA[[#This Row],[QTY]]="",NOTA[[#This Row],[HARGA SATUAN]]="",),"",NOTA[[#This Row],[QTY]]*NOTA[[#This Row],[HARGA SATUAN]])</f>
        <v>1440000</v>
      </c>
      <c r="AI485" s="39">
        <f ca="1">IF(NOTA[ID_H]="","",INDEX(NOTA[TANGGAL],MATCH(,INDIRECT(ADDRESS(ROW(NOTA[TANGGAL]),COLUMN(NOTA[TANGGAL]))&amp;":"&amp;ADDRESS(ROW(),COLUMN(NOTA[TANGGAL]))),-1)))</f>
        <v>45281</v>
      </c>
      <c r="AJ485" s="41" t="str">
        <f ca="1">IF(NOTA[[#This Row],[NAMA BARANG]]="","",INDEX(NOTA[SUPPLIER],MATCH(,INDIRECT(ADDRESS(ROW(NOTA[ID]),COLUMN(NOTA[ID]))&amp;":"&amp;ADDRESS(ROW(),COLUMN(NOTA[ID]))),-1)))</f>
        <v>COMBI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1</v>
      </c>
      <c r="AM485" s="38">
        <f>IF(NOTA[[#This Row],[TGL.NOTA]]="",IF(NOTA[[#This Row],[SUPPLIER_H]]="","",#REF!),MONTH(NOTA[[#This Row],[TGL.NOTA]]))</f>
        <v>12</v>
      </c>
      <c r="AN48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COMBIUNTANA122345281docritinfinity</v>
      </c>
      <c r="AR485" s="38" t="e">
        <f>IF(NOTA[[#This Row],[CONCAT4]]="","",_xlfn.IFNA(MATCH(NOTA[[#This Row],[CONCAT4]],[2]!RAW[CONCAT_H],0),FALSE))</f>
        <v>#REF!</v>
      </c>
      <c r="AS485" s="38">
        <f>IF(NOTA[[#This Row],[CONCAT1]]="","",MATCH(NOTA[[#This Row],[CONCAT1]],[3]!db[NB NOTA_C],0))</f>
        <v>854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8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HAN_2212_182-2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97</v>
      </c>
      <c r="E487" s="46">
        <v>45282</v>
      </c>
      <c r="F487" s="37" t="s">
        <v>350</v>
      </c>
      <c r="G487" s="37" t="s">
        <v>127</v>
      </c>
      <c r="H487" s="47" t="s">
        <v>554</v>
      </c>
      <c r="I487" s="37"/>
      <c r="J487" s="39">
        <v>45282</v>
      </c>
      <c r="K487" s="37"/>
      <c r="L487" s="37" t="s">
        <v>352</v>
      </c>
      <c r="M487" s="40"/>
      <c r="N487" s="38">
        <v>80</v>
      </c>
      <c r="O487" s="37" t="s">
        <v>130</v>
      </c>
      <c r="P487" s="41">
        <v>13000</v>
      </c>
      <c r="Q487" s="42"/>
      <c r="R487" s="48"/>
      <c r="S487" s="49"/>
      <c r="T487" s="44"/>
      <c r="U487" s="44"/>
      <c r="V487" s="50"/>
      <c r="W487" s="45" t="s">
        <v>555</v>
      </c>
      <c r="X487" s="50">
        <f>IF(NOTA[[#This Row],[HARGA/ CTN]]="",NOTA[[#This Row],[JUMLAH_H]],NOTA[[#This Row],[HARGA/ CTN]]*IF(NOTA[[#This Row],[C]]="",0,NOTA[[#This Row],[C]]))</f>
        <v>1040000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1040000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7" s="50">
        <f>IF(OR(NOTA[[#This Row],[QTY]]="",NOTA[[#This Row],[HARGA SATUAN]]="",),"",NOTA[[#This Row],[QTY]]*NOTA[[#This Row],[HARGA SATUAN]])</f>
        <v>1040000</v>
      </c>
      <c r="AI487" s="39">
        <f ca="1">IF(NOTA[ID_H]="","",INDEX(NOTA[TANGGAL],MATCH(,INDIRECT(ADDRESS(ROW(NOTA[TANGGAL]),COLUMN(NOTA[TANGGAL]))&amp;":"&amp;ADDRESS(ROW(),COLUMN(NOTA[TANGGAL]))),-1)))</f>
        <v>45282</v>
      </c>
      <c r="AJ487" s="41" t="str">
        <f ca="1">IF(NOTA[[#This Row],[NAMA BARANG]]="","",INDEX(NOTA[SUPPLIER],MATCH(,INDIRECT(ADDRESS(ROW(NOTA[ID]),COLUMN(NOTA[ID]))&amp;":"&amp;ADDRESS(ROW(),COLUMN(NOTA[ID]))),-1)))</f>
        <v>HANSA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12</v>
      </c>
      <c r="AN48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HANSAUNTANAHN12202318245282lilinangkashintoeng</v>
      </c>
      <c r="AR487" s="38" t="e">
        <f>IF(NOTA[[#This Row],[CONCAT4]]="","",_xlfn.IFNA(MATCH(NOTA[[#This Row],[CONCAT4]],[2]!RAW[CONCAT_H],0),FALSE))</f>
        <v>#REF!</v>
      </c>
      <c r="AS487" s="38">
        <f>IF(NOTA[[#This Row],[CONCAT1]]="","",MATCH(NOTA[[#This Row],[CONCAT1]],[3]!db[NB NOTA_C],0))</f>
        <v>1904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100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97</v>
      </c>
      <c r="E488" s="46"/>
      <c r="F488" s="37"/>
      <c r="G488" s="37"/>
      <c r="H488" s="47"/>
      <c r="I488" s="37"/>
      <c r="J488" s="39"/>
      <c r="K488" s="37"/>
      <c r="L488" s="37" t="s">
        <v>352</v>
      </c>
      <c r="M488" s="40"/>
      <c r="N488" s="38">
        <v>30</v>
      </c>
      <c r="O488" s="37" t="s">
        <v>130</v>
      </c>
      <c r="P488" s="41">
        <v>13000</v>
      </c>
      <c r="Q488" s="42"/>
      <c r="R488" s="48"/>
      <c r="S488" s="49"/>
      <c r="T488" s="44"/>
      <c r="U488" s="44"/>
      <c r="V488" s="50"/>
      <c r="W488" s="45" t="s">
        <v>556</v>
      </c>
      <c r="X488" s="50">
        <f>IF(NOTA[[#This Row],[HARGA/ CTN]]="",NOTA[[#This Row],[JUMLAH_H]],NOTA[[#This Row],[HARGA/ CTN]]*IF(NOTA[[#This Row],[C]]="",0,NOTA[[#This Row],[C]]))</f>
        <v>390000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390000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H488" s="50">
        <f>IF(OR(NOTA[[#This Row],[QTY]]="",NOTA[[#This Row],[HARGA SATUAN]]="",),"",NOTA[[#This Row],[QTY]]*NOTA[[#This Row],[HARGA SATUAN]])</f>
        <v>390000</v>
      </c>
      <c r="AI488" s="39">
        <f ca="1">IF(NOTA[ID_H]="","",INDEX(NOTA[TANGGAL],MATCH(,INDIRECT(ADDRESS(ROW(NOTA[TANGGAL]),COLUMN(NOTA[TANGGAL]))&amp;":"&amp;ADDRESS(ROW(),COLUMN(NOTA[TANGGAL]))),-1)))</f>
        <v>45282</v>
      </c>
      <c r="AJ488" s="41" t="str">
        <f ca="1">IF(NOTA[[#This Row],[NAMA BARANG]]="","",INDEX(NOTA[SUPPLIER],MATCH(,INDIRECT(ADDRESS(ROW(NOTA[ID]),COLUMN(NOTA[ID]))&amp;":"&amp;ADDRESS(ROW(),COLUMN(NOTA[ID]))),-1)))</f>
        <v>HANSA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12</v>
      </c>
      <c r="AN48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1904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100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HAN_2312_186-6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98</v>
      </c>
      <c r="E490" s="46">
        <v>45283</v>
      </c>
      <c r="F490" s="37" t="s">
        <v>350</v>
      </c>
      <c r="G490" s="37" t="s">
        <v>127</v>
      </c>
      <c r="H490" s="47" t="s">
        <v>557</v>
      </c>
      <c r="I490" s="37"/>
      <c r="J490" s="39">
        <v>45283</v>
      </c>
      <c r="K490" s="37"/>
      <c r="L490" s="37" t="s">
        <v>558</v>
      </c>
      <c r="M490" s="40"/>
      <c r="N490" s="38">
        <v>60</v>
      </c>
      <c r="O490" s="37" t="s">
        <v>152</v>
      </c>
      <c r="P490" s="41">
        <v>1600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96000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96000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0" s="50">
        <f>IF(OR(NOTA[[#This Row],[QTY]]="",NOTA[[#This Row],[HARGA SATUAN]]="",),"",NOTA[[#This Row],[QTY]]*NOTA[[#This Row],[HARGA SATUAN]])</f>
        <v>96000</v>
      </c>
      <c r="AI490" s="39">
        <f ca="1">IF(NOTA[ID_H]="","",INDEX(NOTA[TANGGAL],MATCH(,INDIRECT(ADDRESS(ROW(NOTA[TANGGAL]),COLUMN(NOTA[TANGGAL]))&amp;":"&amp;ADDRESS(ROW(),COLUMN(NOTA[TANGGAL]))),-1)))</f>
        <v>45283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6</v>
      </c>
      <c r="AM490" s="38">
        <f>IF(NOTA[[#This Row],[TGL.NOTA]]="",IF(NOTA[[#This Row],[SUPPLIER_H]]="","",AM489),MONTH(NOTA[[#This Row],[TGL.NOTA]]))</f>
        <v>12</v>
      </c>
      <c r="AN49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HANSAUNTANAHN12202318645283malamshintoengk1wpolos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1985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480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98</v>
      </c>
      <c r="E491" s="46"/>
      <c r="F491" s="37"/>
      <c r="G491" s="37"/>
      <c r="H491" s="47"/>
      <c r="I491" s="37"/>
      <c r="J491" s="39"/>
      <c r="K491" s="37"/>
      <c r="L491" s="37" t="s">
        <v>559</v>
      </c>
      <c r="M491" s="40"/>
      <c r="N491" s="38">
        <v>60</v>
      </c>
      <c r="O491" s="37" t="s">
        <v>152</v>
      </c>
      <c r="P491" s="41">
        <v>1600</v>
      </c>
      <c r="Q491" s="42"/>
      <c r="R491" s="48"/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96000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96000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1" s="50">
        <f>IF(OR(NOTA[[#This Row],[QTY]]="",NOTA[[#This Row],[HARGA SATUAN]]="",),"",NOTA[[#This Row],[QTY]]*NOTA[[#This Row],[HARGA SATUAN]])</f>
        <v>96000</v>
      </c>
      <c r="AI491" s="39">
        <f ca="1">IF(NOTA[ID_H]="","",INDEX(NOTA[TANGGAL],MATCH(,INDIRECT(ADDRESS(ROW(NOTA[TANGGAL]),COLUMN(NOTA[TANGGAL]))&amp;":"&amp;ADDRESS(ROW(),COLUMN(NOTA[TANGGAL]))),-1)))</f>
        <v>45283</v>
      </c>
      <c r="AJ491" s="41" t="str">
        <f ca="1">IF(NOTA[[#This Row],[NAMA BARANG]]="","",INDEX(NOTA[SUPPLIER],MATCH(,INDIRECT(ADDRESS(ROW(NOTA[ID]),COLUMN(NOTA[ID]))&amp;":"&amp;ADDRESS(ROW(),COLUMN(NOTA[ID]))),-1)))</f>
        <v>HANSA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12</v>
      </c>
      <c r="AN49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1986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>480 PCS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98</v>
      </c>
      <c r="E492" s="46"/>
      <c r="F492" s="37"/>
      <c r="G492" s="37"/>
      <c r="H492" s="47"/>
      <c r="I492" s="37"/>
      <c r="J492" s="39"/>
      <c r="K492" s="37"/>
      <c r="L492" s="37" t="s">
        <v>560</v>
      </c>
      <c r="M492" s="40"/>
      <c r="N492" s="38">
        <v>50</v>
      </c>
      <c r="O492" s="37" t="s">
        <v>152</v>
      </c>
      <c r="P492" s="41">
        <v>4330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216500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216500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492" s="50">
        <f>IF(OR(NOTA[[#This Row],[QTY]]="",NOTA[[#This Row],[HARGA SATUAN]]="",),"",NOTA[[#This Row],[QTY]]*NOTA[[#This Row],[HARGA SATUAN]])</f>
        <v>216500</v>
      </c>
      <c r="AI492" s="39">
        <f ca="1">IF(NOTA[ID_H]="","",INDEX(NOTA[TANGGAL],MATCH(,INDIRECT(ADDRESS(ROW(NOTA[TANGGAL]),COLUMN(NOTA[TANGGAL]))&amp;":"&amp;ADDRESS(ROW(),COLUMN(NOTA[TANGGAL]))),-1)))</f>
        <v>45283</v>
      </c>
      <c r="AJ492" s="41" t="str">
        <f ca="1">IF(NOTA[[#This Row],[NAMA BARANG]]="","",INDEX(NOTA[SUPPLIER],MATCH(,INDIRECT(ADDRESS(ROW(NOTA[ID]),COLUMN(NOTA[ID]))&amp;":"&amp;ADDRESS(ROW(),COLUMN(NOTA[ID]))),-1)))</f>
        <v>HANSA</v>
      </c>
      <c r="AK492" s="41" t="str">
        <f ca="1">IF(NOTA[[#This Row],[ID_H]]="","",IF(NOTA[[#This Row],[FAKTUR]]="",INDIRECT(ADDRESS(ROW()-1,COLUMN())),NOTA[[#This Row],[FAKTUR]]))</f>
        <v>UNTANA</v>
      </c>
      <c r="AL492" s="38" t="str">
        <f ca="1">IF(NOTA[[#This Row],[ID]]="","",COUNTIF(NOTA[ID_H],NOTA[[#This Row],[ID_H]]))</f>
        <v/>
      </c>
      <c r="AM492" s="38">
        <f ca="1">IF(NOTA[[#This Row],[TGL.NOTA]]="",IF(NOTA[[#This Row],[SUPPLIER_H]]="","",AM491),MONTH(NOTA[[#This Row],[TGL.NOTA]]))</f>
        <v>12</v>
      </c>
      <c r="AN492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>
        <f>IF(NOTA[[#This Row],[CONCAT1]]="","",MATCH(NOTA[[#This Row],[CONCAT1]],[3]!db[NB NOTA_C],0))</f>
        <v>1988</v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>210 PCS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98</v>
      </c>
      <c r="E493" s="46"/>
      <c r="F493" s="37"/>
      <c r="G493" s="37"/>
      <c r="H493" s="47"/>
      <c r="I493" s="37"/>
      <c r="J493" s="39"/>
      <c r="K493" s="37"/>
      <c r="L493" s="37" t="s">
        <v>561</v>
      </c>
      <c r="M493" s="40"/>
      <c r="N493" s="38">
        <v>50</v>
      </c>
      <c r="O493" s="37" t="s">
        <v>152</v>
      </c>
      <c r="P493" s="41">
        <v>4550</v>
      </c>
      <c r="Q493" s="42"/>
      <c r="R493" s="48"/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227500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227500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493" s="50">
        <f>IF(OR(NOTA[[#This Row],[QTY]]="",NOTA[[#This Row],[HARGA SATUAN]]="",),"",NOTA[[#This Row],[QTY]]*NOTA[[#This Row],[HARGA SATUAN]])</f>
        <v>227500</v>
      </c>
      <c r="AI493" s="39">
        <f ca="1">IF(NOTA[ID_H]="","",INDEX(NOTA[TANGGAL],MATCH(,INDIRECT(ADDRESS(ROW(NOTA[TANGGAL]),COLUMN(NOTA[TANGGAL]))&amp;":"&amp;ADDRESS(ROW(),COLUMN(NOTA[TANGGAL]))),-1)))</f>
        <v>45283</v>
      </c>
      <c r="AJ493" s="41" t="str">
        <f ca="1">IF(NOTA[[#This Row],[NAMA BARANG]]="","",INDEX(NOTA[SUPPLIER],MATCH(,INDIRECT(ADDRESS(ROW(NOTA[ID]),COLUMN(NOTA[ID]))&amp;":"&amp;ADDRESS(ROW(),COLUMN(NOTA[ID]))),-1)))</f>
        <v>HANSA</v>
      </c>
      <c r="AK493" s="41" t="str">
        <f ca="1">IF(NOTA[[#This Row],[ID_H]]="","",IF(NOTA[[#This Row],[FAKTUR]]="",INDIRECT(ADDRESS(ROW()-1,COLUMN())),NOTA[[#This Row],[FAKTUR]]))</f>
        <v>UNTANA</v>
      </c>
      <c r="AL493" s="38" t="str">
        <f ca="1">IF(NOTA[[#This Row],[ID]]="","",COUNTIF(NOTA[ID_H],NOTA[[#This Row],[ID_H]]))</f>
        <v/>
      </c>
      <c r="AM493" s="38">
        <f ca="1">IF(NOTA[[#This Row],[TGL.NOTA]]="",IF(NOTA[[#This Row],[SUPPLIER_H]]="","",AM492),MONTH(NOTA[[#This Row],[TGL.NOTA]]))</f>
        <v>12</v>
      </c>
      <c r="AN493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>
        <f>IF(NOTA[[#This Row],[CONCAT1]]="","",MATCH(NOTA[[#This Row],[CONCAT1]],[3]!db[NB NOTA_C],0))</f>
        <v>1990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>210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98</v>
      </c>
      <c r="E494" s="46"/>
      <c r="F494" s="37"/>
      <c r="G494" s="37"/>
      <c r="H494" s="47"/>
      <c r="I494" s="37"/>
      <c r="J494" s="39"/>
      <c r="K494" s="37"/>
      <c r="L494" s="37" t="s">
        <v>562</v>
      </c>
      <c r="M494" s="40"/>
      <c r="N494" s="38">
        <v>30</v>
      </c>
      <c r="O494" s="37" t="s">
        <v>152</v>
      </c>
      <c r="P494" s="41">
        <v>5770</v>
      </c>
      <c r="Q494" s="42"/>
      <c r="R494" s="48"/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173100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173100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173100</v>
      </c>
      <c r="AH494" s="50">
        <f>IF(OR(NOTA[[#This Row],[QTY]]="",NOTA[[#This Row],[HARGA SATUAN]]="",),"",NOTA[[#This Row],[QTY]]*NOTA[[#This Row],[HARGA SATUAN]])</f>
        <v>173100</v>
      </c>
      <c r="AI494" s="39">
        <f ca="1">IF(NOTA[ID_H]="","",INDEX(NOTA[TANGGAL],MATCH(,INDIRECT(ADDRESS(ROW(NOTA[TANGGAL]),COLUMN(NOTA[TANGGAL]))&amp;":"&amp;ADDRESS(ROW(),COLUMN(NOTA[TANGGAL]))),-1)))</f>
        <v>45283</v>
      </c>
      <c r="AJ494" s="41" t="str">
        <f ca="1">IF(NOTA[[#This Row],[NAMA BARANG]]="","",INDEX(NOTA[SUPPLIER],MATCH(,INDIRECT(ADDRESS(ROW(NOTA[ID]),COLUMN(NOTA[ID]))&amp;":"&amp;ADDRESS(ROW(),COLUMN(NOTA[ID]))),-1)))</f>
        <v>HANSA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12</v>
      </c>
      <c r="AN494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malamshintoengb1wpolos173100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1982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>180 PCS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98</v>
      </c>
      <c r="E495" s="46"/>
      <c r="F495" s="37"/>
      <c r="G495" s="37"/>
      <c r="H495" s="47"/>
      <c r="I495" s="37"/>
      <c r="J495" s="39"/>
      <c r="K495" s="37"/>
      <c r="L495" s="37" t="s">
        <v>563</v>
      </c>
      <c r="M495" s="40"/>
      <c r="N495" s="38">
        <v>30</v>
      </c>
      <c r="O495" s="37" t="s">
        <v>152</v>
      </c>
      <c r="P495" s="41">
        <v>6100</v>
      </c>
      <c r="Q495" s="42"/>
      <c r="R495" s="48"/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183000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183000</v>
      </c>
      <c r="AD495" s="50"/>
      <c r="AE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992100</v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183000</v>
      </c>
      <c r="AH495" s="50">
        <f>IF(OR(NOTA[[#This Row],[QTY]]="",NOTA[[#This Row],[HARGA SATUAN]]="",),"",NOTA[[#This Row],[QTY]]*NOTA[[#This Row],[HARGA SATUAN]])</f>
        <v>183000</v>
      </c>
      <c r="AI495" s="39">
        <f ca="1">IF(NOTA[ID_H]="","",INDEX(NOTA[TANGGAL],MATCH(,INDIRECT(ADDRESS(ROW(NOTA[TANGGAL]),COLUMN(NOTA[TANGGAL]))&amp;":"&amp;ADDRESS(ROW(),COLUMN(NOTA[TANGGAL]))),-1)))</f>
        <v>45283</v>
      </c>
      <c r="AJ495" s="41" t="str">
        <f ca="1">IF(NOTA[[#This Row],[NAMA BARANG]]="","",INDEX(NOTA[SUPPLIER],MATCH(,INDIRECT(ADDRESS(ROW(NOTA[ID]),COLUMN(NOTA[ID]))&amp;":"&amp;ADDRESS(ROW(),COLUMN(NOTA[ID]))),-1)))</f>
        <v>HANSA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12</v>
      </c>
      <c r="AN49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malamshintoengb612w183000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1983</v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>150 PCS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KEN_2712_906-5</v>
      </c>
      <c r="C497" s="38" t="e">
        <f ca="1">IF(NOTA[[#This Row],[ID_P]]="","",MATCH(NOTA[[#This Row],[ID_P]],[1]!B_MSK[N_ID],0))</f>
        <v>#REF!</v>
      </c>
      <c r="D497" s="38">
        <f ca="1">IF(NOTA[[#This Row],[NAMA BARANG]]="","",INDEX(NOTA[ID],MATCH(,INDIRECT(ADDRESS(ROW(NOTA[ID]),COLUMN(NOTA[ID]))&amp;":"&amp;ADDRESS(ROW(),COLUMN(NOTA[ID]))),-1)))</f>
        <v>99</v>
      </c>
      <c r="E497" s="46">
        <v>45287</v>
      </c>
      <c r="F497" s="37" t="s">
        <v>22</v>
      </c>
      <c r="G497" s="37" t="s">
        <v>23</v>
      </c>
      <c r="H497" s="37">
        <v>23121906</v>
      </c>
      <c r="I497" s="39"/>
      <c r="J497" s="39">
        <v>45283</v>
      </c>
      <c r="K497" s="37"/>
      <c r="L497" s="37" t="s">
        <v>196</v>
      </c>
      <c r="M497" s="40">
        <v>1</v>
      </c>
      <c r="O497" s="37"/>
      <c r="P497" s="41"/>
      <c r="Q497" s="42">
        <v>1954800</v>
      </c>
      <c r="R497" s="48"/>
      <c r="S497" s="49">
        <v>0.17</v>
      </c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1954800</v>
      </c>
      <c r="Y497" s="50">
        <f>IF(NOTA[[#This Row],[JUMLAH]]="","",NOTA[[#This Row],[JUMLAH]]*NOTA[[#This Row],[DISC 1]])</f>
        <v>332316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332316</v>
      </c>
      <c r="AC497" s="50">
        <f>IF(NOTA[[#This Row],[JUMLAH]]="","",NOTA[[#This Row],[JUMLAH]]-NOTA[[#This Row],[DISC]])</f>
        <v>1622484</v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97" s="50" t="str">
        <f>IF(OR(NOTA[[#This Row],[QTY]]="",NOTA[[#This Row],[HARGA SATUAN]]="",),"",NOTA[[#This Row],[QTY]]*NOTA[[#This Row],[HARGA SATUAN]])</f>
        <v/>
      </c>
      <c r="AI497" s="39">
        <f ca="1">IF(NOTA[ID_H]="","",INDEX(NOTA[TANGGAL],MATCH(,INDIRECT(ADDRESS(ROW(NOTA[TANGGAL]),COLUMN(NOTA[TANGGAL]))&amp;":"&amp;ADDRESS(ROW(),COLUMN(NOTA[TANGGAL]))),-1)))</f>
        <v>45287</v>
      </c>
      <c r="AJ497" s="41" t="str">
        <f ca="1">IF(NOTA[[#This Row],[NAMA BARANG]]="","",INDEX(NOTA[SUPPLIER],MATCH(,INDIRECT(ADDRESS(ROW(NOTA[ID]),COLUMN(NOTA[ID]))&amp;":"&amp;ADDRESS(ROW(),COLUMN(NOTA[ID]))),-1)))</f>
        <v>KENKO SINAR INDONESIA</v>
      </c>
      <c r="AK497" s="41" t="str">
        <f ca="1">IF(NOTA[[#This Row],[ID_H]]="","",IF(NOTA[[#This Row],[FAKTUR]]="",INDIRECT(ADDRESS(ROW()-1,COLUMN())),NOTA[[#This Row],[FAKTUR]]))</f>
        <v>ARTO MORO</v>
      </c>
      <c r="AL497" s="38">
        <f ca="1">IF(NOTA[[#This Row],[ID]]="","",COUNTIF(NOTA[ID_H],NOTA[[#This Row],[ID_H]]))</f>
        <v>5</v>
      </c>
      <c r="AM497" s="38">
        <f>IF(NOTA[[#This Row],[TGL.NOTA]]="",IF(NOTA[[#This Row],[SUPPLIER_H]]="","",AM496),MONTH(NOTA[[#This Row],[TGL.NOTA]]))</f>
        <v>12</v>
      </c>
      <c r="AN49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MORO2312190645283kenkocorrectionfluidke01</v>
      </c>
      <c r="AR497" s="38" t="e">
        <f>IF(NOTA[[#This Row],[CONCAT4]]="","",_xlfn.IFNA(MATCH(NOTA[[#This Row],[CONCAT4]],[2]!RAW[CONCAT_H],0),FALSE))</f>
        <v>#REF!</v>
      </c>
      <c r="AS497" s="38">
        <f>IF(NOTA[[#This Row],[CONCAT1]]="","",MATCH(NOTA[[#This Row],[CONCAT1]],[3]!db[NB NOTA_C],0))</f>
        <v>1569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>36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>
        <f ca="1">IF(NOTA[[#This Row],[NAMA BARANG]]="","",INDEX(NOTA[ID],MATCH(,INDIRECT(ADDRESS(ROW(NOTA[ID]),COLUMN(NOTA[ID]))&amp;":"&amp;ADDRESS(ROW(),COLUMN(NOTA[ID]))),-1)))</f>
        <v>99</v>
      </c>
      <c r="E498" s="46"/>
      <c r="F498" s="37"/>
      <c r="G498" s="37"/>
      <c r="H498" s="47"/>
      <c r="I498" s="37"/>
      <c r="J498" s="39"/>
      <c r="K498" s="37"/>
      <c r="L498" s="37" t="s">
        <v>565</v>
      </c>
      <c r="M498" s="40">
        <v>1</v>
      </c>
      <c r="O498" s="37"/>
      <c r="P498" s="41"/>
      <c r="Q498" s="42">
        <v>3758400</v>
      </c>
      <c r="R498" s="48"/>
      <c r="S498" s="49">
        <v>0.17</v>
      </c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3758400</v>
      </c>
      <c r="Y498" s="50">
        <f>IF(NOTA[[#This Row],[JUMLAH]]="","",NOTA[[#This Row],[JUMLAH]]*NOTA[[#This Row],[DISC 1]])</f>
        <v>638928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638928</v>
      </c>
      <c r="AC498" s="50">
        <f>IF(NOTA[[#This Row],[JUMLAH]]="","",NOTA[[#This Row],[JUMLAH]]-NOTA[[#This Row],[DISC]])</f>
        <v>3119472</v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98" s="50" t="str">
        <f>IF(OR(NOTA[[#This Row],[QTY]]="",NOTA[[#This Row],[HARGA SATUAN]]="",),"",NOTA[[#This Row],[QTY]]*NOTA[[#This Row],[HARGA SATUAN]])</f>
        <v/>
      </c>
      <c r="AI498" s="39">
        <f ca="1">IF(NOTA[ID_H]="","",INDEX(NOTA[TANGGAL],MATCH(,INDIRECT(ADDRESS(ROW(NOTA[TANGGAL]),COLUMN(NOTA[TANGGAL]))&amp;":"&amp;ADDRESS(ROW(),COLUMN(NOTA[TANGGAL]))),-1)))</f>
        <v>45287</v>
      </c>
      <c r="AJ498" s="41" t="str">
        <f ca="1">IF(NOTA[[#This Row],[NAMA BARANG]]="","",INDEX(NOTA[SUPPLIER],MATCH(,INDIRECT(ADDRESS(ROW(NOTA[ID]),COLUMN(NOTA[ID]))&amp;":"&amp;ADDRESS(ROW(),COLUMN(NOTA[ID]))),-1)))</f>
        <v>KENKO SINAR INDONESIA</v>
      </c>
      <c r="AK498" s="41" t="str">
        <f ca="1">IF(NOTA[[#This Row],[ID_H]]="","",IF(NOTA[[#This Row],[FAKTUR]]="",INDIRECT(ADDRESS(ROW()-1,COLUMN())),NOTA[[#This Row],[FAKTUR]]))</f>
        <v>ARTO MORO</v>
      </c>
      <c r="AL498" s="38" t="str">
        <f ca="1">IF(NOTA[[#This Row],[ID]]="","",COUNTIF(NOTA[ID_H],NOTA[[#This Row],[ID_H]]))</f>
        <v/>
      </c>
      <c r="AM498" s="38">
        <f ca="1">IF(NOTA[[#This Row],[TGL.NOTA]]="",IF(NOTA[[#This Row],[SUPPLIER_H]]="","",AM497),MONTH(NOTA[[#This Row],[TGL.NOTA]]))</f>
        <v>12</v>
      </c>
      <c r="AN49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>
        <f>IF(NOTA[[#This Row],[CONCAT1]]="","",MATCH(NOTA[[#This Row],[CONCAT1]],[3]!db[NB NOTA_C],0))</f>
        <v>1669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144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99</v>
      </c>
      <c r="E499" s="46"/>
      <c r="F499" s="37"/>
      <c r="G499" s="37"/>
      <c r="H499" s="47"/>
      <c r="I499" s="37"/>
      <c r="J499" s="39"/>
      <c r="K499" s="37"/>
      <c r="L499" s="37" t="s">
        <v>451</v>
      </c>
      <c r="M499" s="40">
        <v>1</v>
      </c>
      <c r="O499" s="37"/>
      <c r="P499" s="41"/>
      <c r="Q499" s="42">
        <v>462000</v>
      </c>
      <c r="R499" s="48"/>
      <c r="S499" s="49">
        <v>0.17</v>
      </c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462000</v>
      </c>
      <c r="Y499" s="50">
        <f>IF(NOTA[[#This Row],[JUMLAH]]="","",NOTA[[#This Row],[JUMLAH]]*NOTA[[#This Row],[DISC 1]])</f>
        <v>78540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78540</v>
      </c>
      <c r="AC499" s="50">
        <f>IF(NOTA[[#This Row],[JUMLAH]]="","",NOTA[[#This Row],[JUMLAH]]-NOTA[[#This Row],[DISC]])</f>
        <v>383460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9" s="50" t="str">
        <f>IF(OR(NOTA[[#This Row],[QTY]]="",NOTA[[#This Row],[HARGA SATUAN]]="",),"",NOTA[[#This Row],[QTY]]*NOTA[[#This Row],[HARGA SATUAN]])</f>
        <v/>
      </c>
      <c r="AI499" s="39">
        <f ca="1">IF(NOTA[ID_H]="","",INDEX(NOTA[TANGGAL],MATCH(,INDIRECT(ADDRESS(ROW(NOTA[TANGGAL]),COLUMN(NOTA[TANGGAL]))&amp;":"&amp;ADDRESS(ROW(),COLUMN(NOTA[TANGGAL]))),-1)))</f>
        <v>45287</v>
      </c>
      <c r="AJ499" s="41" t="str">
        <f ca="1">IF(NOTA[[#This Row],[NAMA BARANG]]="","",INDEX(NOTA[SUPPLIER],MATCH(,INDIRECT(ADDRESS(ROW(NOTA[ID]),COLUMN(NOTA[ID]))&amp;":"&amp;ADDRESS(ROW(),COLUMN(NOTA[ID]))),-1)))</f>
        <v>KENKO SINAR INDONESIA</v>
      </c>
      <c r="AK499" s="41" t="str">
        <f ca="1">IF(NOTA[[#This Row],[ID_H]]="","",IF(NOTA[[#This Row],[FAKTUR]]="",INDIRECT(ADDRESS(ROW()-1,COLUMN())),NOTA[[#This Row],[FAKTUR]]))</f>
        <v>ARTO MORO</v>
      </c>
      <c r="AL499" s="38" t="str">
        <f ca="1">IF(NOTA[[#This Row],[ID]]="","",COUNTIF(NOTA[ID_H],NOTA[[#This Row],[ID_H]]))</f>
        <v/>
      </c>
      <c r="AM499" s="38">
        <f ca="1">IF(NOTA[[#This Row],[TGL.NOTA]]="",IF(NOTA[[#This Row],[SUPPLIER_H]]="","",AM498),MONTH(NOTA[[#This Row],[TGL.NOTA]]))</f>
        <v>12</v>
      </c>
      <c r="AN49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>
        <f>IF(NOTA[[#This Row],[CONCAT1]]="","",MATCH(NOTA[[#This Row],[CONCAT1]],[3]!db[NB NOTA_C],0))</f>
        <v>1808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24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99</v>
      </c>
      <c r="E500" s="46"/>
      <c r="F500" s="37"/>
      <c r="G500" s="37"/>
      <c r="H500" s="47"/>
      <c r="I500" s="37"/>
      <c r="J500" s="39"/>
      <c r="K500" s="37"/>
      <c r="L500" s="37" t="s">
        <v>458</v>
      </c>
      <c r="M500" s="40">
        <v>1</v>
      </c>
      <c r="O500" s="37"/>
      <c r="P500" s="41"/>
      <c r="Q500" s="42">
        <v>900000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900000</v>
      </c>
      <c r="Y500" s="50">
        <f>IF(NOTA[[#This Row],[JUMLAH]]="","",NOTA[[#This Row],[JUMLAH]]*NOTA[[#This Row],[DISC 1]])</f>
        <v>153000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153000</v>
      </c>
      <c r="AC500" s="50">
        <f>IF(NOTA[[#This Row],[JUMLAH]]="","",NOTA[[#This Row],[JUMLAH]]-NOTA[[#This Row],[DISC]])</f>
        <v>747000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45287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12</v>
      </c>
      <c r="AN50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1513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5 GRS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99</v>
      </c>
      <c r="E501" s="46"/>
      <c r="F501" s="37"/>
      <c r="G501" s="37"/>
      <c r="H501" s="47"/>
      <c r="I501" s="37"/>
      <c r="J501" s="39"/>
      <c r="K501" s="37"/>
      <c r="L501" s="37" t="s">
        <v>564</v>
      </c>
      <c r="M501" s="40">
        <v>2</v>
      </c>
      <c r="O501" s="37"/>
      <c r="P501" s="41"/>
      <c r="Q501" s="42">
        <v>3888000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7776000</v>
      </c>
      <c r="Y501" s="50">
        <f>IF(NOTA[[#This Row],[JUMLAH]]="","",NOTA[[#This Row],[JUMLAH]]*NOTA[[#This Row],[DISC 1]])</f>
        <v>1321920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1321920</v>
      </c>
      <c r="AC501" s="50">
        <f>IF(NOTA[[#This Row],[JUMLAH]]="","",NOTA[[#This Row],[JUMLAH]]-NOTA[[#This Row],[DISC]])</f>
        <v>6454080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2524704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12326496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45287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12</v>
      </c>
      <c r="AN501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2985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KEN_2712_806-7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100</v>
      </c>
      <c r="E503" s="46">
        <v>45287</v>
      </c>
      <c r="F503" s="37" t="s">
        <v>22</v>
      </c>
      <c r="G503" s="37" t="s">
        <v>23</v>
      </c>
      <c r="H503" s="47" t="s">
        <v>566</v>
      </c>
      <c r="I503" s="37"/>
      <c r="J503" s="39">
        <v>45282</v>
      </c>
      <c r="K503" s="37"/>
      <c r="L503" s="37" t="s">
        <v>196</v>
      </c>
      <c r="M503" s="40">
        <v>7</v>
      </c>
      <c r="O503" s="37"/>
      <c r="P503" s="41"/>
      <c r="Q503" s="42">
        <v>1954800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13683600</v>
      </c>
      <c r="Y503" s="50">
        <f>IF(NOTA[[#This Row],[JUMLAH]]="","",NOTA[[#This Row],[JUMLAH]]*NOTA[[#This Row],[DISC 1]])</f>
        <v>2326212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2326212</v>
      </c>
      <c r="AC503" s="50">
        <f>IF(NOTA[[#This Row],[JUMLAH]]="","",NOTA[[#This Row],[JUMLAH]]-NOTA[[#This Row],[DISC]])</f>
        <v>11357388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45287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>
        <f ca="1">IF(NOTA[[#This Row],[ID]]="","",COUNTIF(NOTA[ID_H],NOTA[[#This Row],[ID_H]]))</f>
        <v>7</v>
      </c>
      <c r="AM503" s="38">
        <f>IF(NOTA[[#This Row],[TGL.NOTA]]="",IF(NOTA[[#This Row],[SUPPLIER_H]]="","",AM502),MONTH(NOTA[[#This Row],[TGL.NOTA]]))</f>
        <v>12</v>
      </c>
      <c r="AN5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MORO2312180645282kenkocorrectionfluidke01</v>
      </c>
      <c r="AR503" s="38" t="e">
        <f>IF(NOTA[[#This Row],[CONCAT4]]="","",_xlfn.IFNA(MATCH(NOTA[[#This Row],[CONCAT4]],[2]!RAW[CONCAT_H],0),FALSE))</f>
        <v>#REF!</v>
      </c>
      <c r="AS503" s="38">
        <f>IF(NOTA[[#This Row],[CONCAT1]]="","",MATCH(NOTA[[#This Row],[CONCAT1]],[3]!db[NB NOTA_C],0))</f>
        <v>1569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36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100</v>
      </c>
      <c r="E504" s="46"/>
      <c r="F504" s="37"/>
      <c r="G504" s="37"/>
      <c r="H504" s="47"/>
      <c r="I504" s="37"/>
      <c r="J504" s="39"/>
      <c r="K504" s="37"/>
      <c r="L504" s="37" t="s">
        <v>111</v>
      </c>
      <c r="M504" s="40">
        <v>1</v>
      </c>
      <c r="O504" s="37"/>
      <c r="P504" s="41"/>
      <c r="Q504" s="42">
        <v>1476000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1476000</v>
      </c>
      <c r="Y504" s="50">
        <f>IF(NOTA[[#This Row],[JUMLAH]]="","",NOTA[[#This Row],[JUMLAH]]*NOTA[[#This Row],[DISC 1]])</f>
        <v>250920.00000000003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250920.00000000003</v>
      </c>
      <c r="AC504" s="50">
        <f>IF(NOTA[[#This Row],[JUMLAH]]="","",NOTA[[#This Row],[JUMLAH]]-NOTA[[#This Row],[DISC]])</f>
        <v>1225080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45287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12</v>
      </c>
      <c r="AN50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1510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30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100</v>
      </c>
      <c r="E505" s="46"/>
      <c r="F505" s="37"/>
      <c r="G505" s="37"/>
      <c r="H505" s="47"/>
      <c r="I505" s="37"/>
      <c r="J505" s="39"/>
      <c r="K505" s="37"/>
      <c r="L505" s="37" t="s">
        <v>458</v>
      </c>
      <c r="M505" s="40">
        <v>1</v>
      </c>
      <c r="O505" s="37"/>
      <c r="P505" s="41"/>
      <c r="Q505" s="42">
        <v>900000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900000</v>
      </c>
      <c r="Y505" s="50">
        <f>IF(NOTA[[#This Row],[JUMLAH]]="","",NOTA[[#This Row],[JUMLAH]]*NOTA[[#This Row],[DISC 1]])</f>
        <v>153000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153000</v>
      </c>
      <c r="AC505" s="50">
        <f>IF(NOTA[[#This Row],[JUMLAH]]="","",NOTA[[#This Row],[JUMLAH]]-NOTA[[#This Row],[DISC]])</f>
        <v>747000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45287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12</v>
      </c>
      <c r="AN50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1513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5 GRS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100</v>
      </c>
      <c r="E506" s="46"/>
      <c r="F506" s="37"/>
      <c r="G506" s="37"/>
      <c r="H506" s="47"/>
      <c r="I506" s="37"/>
      <c r="J506" s="39"/>
      <c r="K506" s="37"/>
      <c r="L506" s="37" t="s">
        <v>450</v>
      </c>
      <c r="M506" s="40">
        <v>1</v>
      </c>
      <c r="O506" s="37"/>
      <c r="P506" s="41"/>
      <c r="Q506" s="48">
        <v>850000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850000</v>
      </c>
      <c r="Y506" s="50">
        <f>IF(NOTA[[#This Row],[JUMLAH]]="","",NOTA[[#This Row],[JUMLAH]]*NOTA[[#This Row],[DISC 1]])</f>
        <v>144500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144500</v>
      </c>
      <c r="AC506" s="50">
        <f>IF(NOTA[[#This Row],[JUMLAH]]="","",NOTA[[#This Row],[JUMLAH]]-NOTA[[#This Row],[DISC]])</f>
        <v>705500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45287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12</v>
      </c>
      <c r="AN50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1814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500 BOX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100</v>
      </c>
      <c r="E507" s="46"/>
      <c r="F507" s="37"/>
      <c r="G507" s="37"/>
      <c r="H507" s="47"/>
      <c r="I507" s="37"/>
      <c r="J507" s="39"/>
      <c r="K507" s="37"/>
      <c r="L507" s="37" t="s">
        <v>509</v>
      </c>
      <c r="M507" s="40">
        <v>1</v>
      </c>
      <c r="O507" s="37"/>
      <c r="P507" s="41"/>
      <c r="Q507" s="42">
        <v>1536000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1536000</v>
      </c>
      <c r="Y507" s="50">
        <f>IF(NOTA[[#This Row],[JUMLAH]]="","",NOTA[[#This Row],[JUMLAH]]*NOTA[[#This Row],[DISC 1]])</f>
        <v>261120.00000000003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261120.00000000003</v>
      </c>
      <c r="AC507" s="50">
        <f>IF(NOTA[[#This Row],[JUMLAH]]="","",NOTA[[#This Row],[JUMLAH]]-NOTA[[#This Row],[DISC]])</f>
        <v>1274880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45287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12</v>
      </c>
      <c r="AN507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1760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4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567</v>
      </c>
      <c r="M508" s="40">
        <v>1</v>
      </c>
      <c r="O508" s="37"/>
      <c r="P508" s="41"/>
      <c r="Q508" s="42">
        <v>462000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462000</v>
      </c>
      <c r="Y508" s="50">
        <f>IF(NOTA[[#This Row],[JUMLAH]]="","",NOTA[[#This Row],[JUMLAH]]*NOTA[[#This Row],[DISC 1]])</f>
        <v>78540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78540</v>
      </c>
      <c r="AC508" s="50">
        <f>IF(NOTA[[#This Row],[JUMLAH]]="","",NOTA[[#This Row],[JUMLAH]]-NOTA[[#This Row],[DISC]])</f>
        <v>383460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45287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12</v>
      </c>
      <c r="AN5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1808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24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100</v>
      </c>
      <c r="E509" s="46"/>
      <c r="F509" s="37"/>
      <c r="G509" s="37"/>
      <c r="H509" s="47"/>
      <c r="I509" s="37"/>
      <c r="J509" s="39"/>
      <c r="K509" s="37"/>
      <c r="L509" s="37" t="s">
        <v>201</v>
      </c>
      <c r="M509" s="40">
        <v>1</v>
      </c>
      <c r="O509" s="37"/>
      <c r="P509" s="41"/>
      <c r="Q509" s="42">
        <v>1200000</v>
      </c>
      <c r="R509" s="48"/>
      <c r="S509" s="49">
        <v>0.17</v>
      </c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1200000</v>
      </c>
      <c r="Y509" s="50">
        <f>IF(NOTA[[#This Row],[JUMLAH]]="","",NOTA[[#This Row],[JUMLAH]]*NOTA[[#This Row],[DISC 1]])</f>
        <v>204000.00000000003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204000.00000000003</v>
      </c>
      <c r="AC509" s="50">
        <f>IF(NOTA[[#This Row],[JUMLAH]]="","",NOTA[[#This Row],[JUMLAH]]-NOTA[[#This Row],[DISC]])</f>
        <v>996000</v>
      </c>
      <c r="AD509" s="50"/>
      <c r="AE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3418292</v>
      </c>
      <c r="AF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16689308</v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09" s="50" t="str">
        <f>IF(OR(NOTA[[#This Row],[QTY]]="",NOTA[[#This Row],[HARGA SATUAN]]="",),"",NOTA[[#This Row],[QTY]]*NOTA[[#This Row],[HARGA SATUAN]])</f>
        <v/>
      </c>
      <c r="AI509" s="39">
        <f ca="1">IF(NOTA[ID_H]="","",INDEX(NOTA[TANGGAL],MATCH(,INDIRECT(ADDRESS(ROW(NOTA[TANGGAL]),COLUMN(NOTA[TANGGAL]))&amp;":"&amp;ADDRESS(ROW(),COLUMN(NOTA[TANGGAL]))),-1)))</f>
        <v>45287</v>
      </c>
      <c r="AJ509" s="41" t="str">
        <f ca="1">IF(NOTA[[#This Row],[NAMA BARANG]]="","",INDEX(NOTA[SUPPLIER],MATCH(,INDIRECT(ADDRESS(ROW(NOTA[ID]),COLUMN(NOTA[ID]))&amp;":"&amp;ADDRESS(ROW(),COLUMN(NOTA[ID]))),-1)))</f>
        <v>KENKO SINAR INDONESIA</v>
      </c>
      <c r="AK509" s="41" t="str">
        <f ca="1">IF(NOTA[[#This Row],[ID_H]]="","",IF(NOTA[[#This Row],[FAKTUR]]="",INDIRECT(ADDRESS(ROW()-1,COLUMN())),NOTA[[#This Row],[FAKTUR]]))</f>
        <v>ARTO MORO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12</v>
      </c>
      <c r="AN5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1512</v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>10 GRS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KEN_2712_764-2</v>
      </c>
      <c r="C511" s="38" t="e">
        <f ca="1">IF(NOTA[[#This Row],[ID_P]]="","",MATCH(NOTA[[#This Row],[ID_P]],[1]!B_MSK[N_ID],0))</f>
        <v>#REF!</v>
      </c>
      <c r="D511" s="38">
        <f ca="1">IF(NOTA[[#This Row],[NAMA BARANG]]="","",INDEX(NOTA[ID],MATCH(,INDIRECT(ADDRESS(ROW(NOTA[ID]),COLUMN(NOTA[ID]))&amp;":"&amp;ADDRESS(ROW(),COLUMN(NOTA[ID]))),-1)))</f>
        <v>101</v>
      </c>
      <c r="E511" s="46">
        <v>45287</v>
      </c>
      <c r="F511" s="37" t="s">
        <v>22</v>
      </c>
      <c r="G511" s="37" t="s">
        <v>23</v>
      </c>
      <c r="H511" s="37">
        <v>23121764</v>
      </c>
      <c r="I511" s="37"/>
      <c r="J511" s="39">
        <v>45281</v>
      </c>
      <c r="K511" s="37"/>
      <c r="L511" s="37" t="s">
        <v>218</v>
      </c>
      <c r="M511" s="40">
        <v>2</v>
      </c>
      <c r="O511" s="37"/>
      <c r="P511" s="41"/>
      <c r="Q511" s="42">
        <v>2376000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4752000</v>
      </c>
      <c r="Y511" s="50">
        <f>IF(NOTA[[#This Row],[JUMLAH]]="","",NOTA[[#This Row],[JUMLAH]]*NOTA[[#This Row],[DISC 1]])</f>
        <v>807840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807840</v>
      </c>
      <c r="AC511" s="50">
        <f>IF(NOTA[[#This Row],[JUMLAH]]="","",NOTA[[#This Row],[JUMLAH]]-NOTA[[#This Row],[DISC]])</f>
        <v>3944160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45287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>
        <f ca="1">IF(NOTA[[#This Row],[ID]]="","",COUNTIF(NOTA[ID_H],NOTA[[#This Row],[ID_H]]))</f>
        <v>2</v>
      </c>
      <c r="AM511" s="38">
        <f>IF(NOTA[[#This Row],[TGL.NOTA]]="",IF(NOTA[[#This Row],[SUPPLIER_H]]="","",AM510),MONTH(NOTA[[#This Row],[TGL.NOTA]]))</f>
        <v>12</v>
      </c>
      <c r="AN5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MORO2312176445281kenkogluestick8grsmall</v>
      </c>
      <c r="AR511" s="38" t="e">
        <f>IF(NOTA[[#This Row],[CONCAT4]]="","",_xlfn.IFNA(MATCH(NOTA[[#This Row],[CONCAT4]],[2]!RAW[CONCAT_H],0),FALSE))</f>
        <v>#REF!</v>
      </c>
      <c r="AS511" s="38">
        <f>IF(NOTA[[#This Row],[CONCAT1]]="","",MATCH(NOTA[[#This Row],[CONCAT1]],[3]!db[NB NOTA_C],0))</f>
        <v>1673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36 BOX (30 PCS)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101</v>
      </c>
      <c r="E512" s="46"/>
      <c r="F512" s="37"/>
      <c r="G512" s="37"/>
      <c r="H512" s="47"/>
      <c r="I512" s="37"/>
      <c r="J512" s="39"/>
      <c r="K512" s="37"/>
      <c r="L512" s="37" t="s">
        <v>200</v>
      </c>
      <c r="M512" s="40">
        <v>2</v>
      </c>
      <c r="O512" s="37"/>
      <c r="P512" s="41"/>
      <c r="Q512" s="42">
        <v>860000</v>
      </c>
      <c r="R512" s="48"/>
      <c r="S512" s="49">
        <v>0.17</v>
      </c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1720000</v>
      </c>
      <c r="Y512" s="50">
        <f>IF(NOTA[[#This Row],[JUMLAH]]="","",NOTA[[#This Row],[JUMLAH]]*NOTA[[#This Row],[DISC 1]])</f>
        <v>292400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292400</v>
      </c>
      <c r="AC512" s="50">
        <f>IF(NOTA[[#This Row],[JUMLAH]]="","",NOTA[[#This Row],[JUMLAH]]-NOTA[[#This Row],[DISC]])</f>
        <v>1427600</v>
      </c>
      <c r="AD512" s="50"/>
      <c r="AE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1100240</v>
      </c>
      <c r="AF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5371760</v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512" s="50" t="str">
        <f>IF(OR(NOTA[[#This Row],[QTY]]="",NOTA[[#This Row],[HARGA SATUAN]]="",),"",NOTA[[#This Row],[QTY]]*NOTA[[#This Row],[HARGA SATUAN]])</f>
        <v/>
      </c>
      <c r="AI512" s="39">
        <f ca="1">IF(NOTA[ID_H]="","",INDEX(NOTA[TANGGAL],MATCH(,INDIRECT(ADDRESS(ROW(NOTA[TANGGAL]),COLUMN(NOTA[TANGGAL]))&amp;":"&amp;ADDRESS(ROW(),COLUMN(NOTA[TANGGAL]))),-1)))</f>
        <v>45287</v>
      </c>
      <c r="AJ512" s="41" t="str">
        <f ca="1">IF(NOTA[[#This Row],[NAMA BARANG]]="","",INDEX(NOTA[SUPPLIER],MATCH(,INDIRECT(ADDRESS(ROW(NOTA[ID]),COLUMN(NOTA[ID]))&amp;":"&amp;ADDRESS(ROW(),COLUMN(NOTA[ID]))),-1)))</f>
        <v>KENKO SINAR INDONESIA</v>
      </c>
      <c r="AK512" s="41" t="str">
        <f ca="1">IF(NOTA[[#This Row],[ID_H]]="","",IF(NOTA[[#This Row],[FAKTUR]]="",INDIRECT(ADDRESS(ROW()-1,COLUMN())),NOTA[[#This Row],[FAKTUR]]))</f>
        <v>ARTO MORO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12</v>
      </c>
      <c r="AN5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>
        <f>IF(NOTA[[#This Row],[CONCAT1]]="","",MATCH(NOTA[[#This Row],[CONCAT1]],[3]!db[NB NOTA_C],0))</f>
        <v>1697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>200 BOX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KEN_2712_739-3</v>
      </c>
      <c r="C514" s="38" t="e">
        <f ca="1">IF(NOTA[[#This Row],[ID_P]]="","",MATCH(NOTA[[#This Row],[ID_P]],[1]!B_MSK[N_ID],0))</f>
        <v>#REF!</v>
      </c>
      <c r="D514" s="38">
        <f ca="1">IF(NOTA[[#This Row],[NAMA BARANG]]="","",INDEX(NOTA[ID],MATCH(,INDIRECT(ADDRESS(ROW(NOTA[ID]),COLUMN(NOTA[ID]))&amp;":"&amp;ADDRESS(ROW(),COLUMN(NOTA[ID]))),-1)))</f>
        <v>102</v>
      </c>
      <c r="E514" s="46">
        <v>45287</v>
      </c>
      <c r="F514" s="37" t="s">
        <v>22</v>
      </c>
      <c r="G514" s="37" t="s">
        <v>23</v>
      </c>
      <c r="H514" s="47" t="s">
        <v>568</v>
      </c>
      <c r="I514" s="37"/>
      <c r="J514" s="39">
        <v>45281</v>
      </c>
      <c r="K514" s="37"/>
      <c r="L514" s="37" t="s">
        <v>504</v>
      </c>
      <c r="M514" s="40">
        <v>4</v>
      </c>
      <c r="O514" s="37"/>
      <c r="P514" s="41"/>
      <c r="Q514" s="42">
        <v>5616000</v>
      </c>
      <c r="R514" s="48"/>
      <c r="S514" s="49">
        <v>0.17</v>
      </c>
      <c r="T514" s="44"/>
      <c r="U514" s="44"/>
      <c r="V514" s="50"/>
      <c r="W514" s="45"/>
      <c r="X514" s="50">
        <f>IF(NOTA[[#This Row],[HARGA/ CTN]]="",NOTA[[#This Row],[JUMLAH_H]],NOTA[[#This Row],[HARGA/ CTN]]*IF(NOTA[[#This Row],[C]]="",0,NOTA[[#This Row],[C]]))</f>
        <v>22464000</v>
      </c>
      <c r="Y514" s="50">
        <f>IF(NOTA[[#This Row],[JUMLAH]]="","",NOTA[[#This Row],[JUMLAH]]*NOTA[[#This Row],[DISC 1]])</f>
        <v>3818880.0000000005</v>
      </c>
      <c r="Z514" s="50">
        <f>IF(NOTA[[#This Row],[JUMLAH]]="","",(NOTA[[#This Row],[JUMLAH]]-NOTA[[#This Row],[DISC 1-]])*NOTA[[#This Row],[DISC 2]])</f>
        <v>0</v>
      </c>
      <c r="AA514" s="50">
        <f>IF(NOTA[[#This Row],[JUMLAH]]="","",(NOTA[[#This Row],[JUMLAH]]-NOTA[[#This Row],[DISC 1-]]-NOTA[[#This Row],[DISC 2-]])*NOTA[[#This Row],[DISC 3]])</f>
        <v>0</v>
      </c>
      <c r="AB514" s="50">
        <f>IF(NOTA[[#This Row],[JUMLAH]]="","",NOTA[[#This Row],[DISC 1-]]+NOTA[[#This Row],[DISC 2-]]+NOTA[[#This Row],[DISC 3-]])</f>
        <v>3818880.0000000005</v>
      </c>
      <c r="AC514" s="50">
        <f>IF(NOTA[[#This Row],[JUMLAH]]="","",NOTA[[#This Row],[JUMLAH]]-NOTA[[#This Row],[DISC]])</f>
        <v>18645120</v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4" s="50" t="str">
        <f>IF(OR(NOTA[[#This Row],[QTY]]="",NOTA[[#This Row],[HARGA SATUAN]]="",),"",NOTA[[#This Row],[QTY]]*NOTA[[#This Row],[HARGA SATUAN]])</f>
        <v/>
      </c>
      <c r="AI514" s="39">
        <f ca="1">IF(NOTA[ID_H]="","",INDEX(NOTA[TANGGAL],MATCH(,INDIRECT(ADDRESS(ROW(NOTA[TANGGAL]),COLUMN(NOTA[TANGGAL]))&amp;":"&amp;ADDRESS(ROW(),COLUMN(NOTA[TANGGAL]))),-1)))</f>
        <v>45287</v>
      </c>
      <c r="AJ514" s="41" t="str">
        <f ca="1">IF(NOTA[[#This Row],[NAMA BARANG]]="","",INDEX(NOTA[SUPPLIER],MATCH(,INDIRECT(ADDRESS(ROW(NOTA[ID]),COLUMN(NOTA[ID]))&amp;":"&amp;ADDRESS(ROW(),COLUMN(NOTA[ID]))),-1)))</f>
        <v>KENKO SINAR INDONESIA</v>
      </c>
      <c r="AK514" s="41" t="str">
        <f ca="1">IF(NOTA[[#This Row],[ID_H]]="","",IF(NOTA[[#This Row],[FAKTUR]]="",INDIRECT(ADDRESS(ROW()-1,COLUMN())),NOTA[[#This Row],[FAKTUR]]))</f>
        <v>ARTO MORO</v>
      </c>
      <c r="AL514" s="38">
        <f ca="1">IF(NOTA[[#This Row],[ID]]="","",COUNTIF(NOTA[ID_H],NOTA[[#This Row],[ID_H]]))</f>
        <v>3</v>
      </c>
      <c r="AM514" s="38">
        <f>IF(NOTA[[#This Row],[TGL.NOTA]]="",IF(NOTA[[#This Row],[SUPPLIER_H]]="","",AM513),MONTH(NOTA[[#This Row],[TGL.NOTA]]))</f>
        <v>12</v>
      </c>
      <c r="AN5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MORO2312173945281kenkogelpenhitechh028mmblack</v>
      </c>
      <c r="AR514" s="38" t="e">
        <f>IF(NOTA[[#This Row],[CONCAT4]]="","",_xlfn.IFNA(MATCH(NOTA[[#This Row],[CONCAT4]],[2]!RAW[CONCAT_H],0),FALSE))</f>
        <v>#REF!</v>
      </c>
      <c r="AS514" s="38">
        <f>IF(NOTA[[#This Row],[CONCAT1]]="","",MATCH(NOTA[[#This Row],[CONCAT1]],[3]!db[NB NOTA_C],0))</f>
        <v>1632</v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>144 LSN</v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4" s="38" t="e">
        <f ca="1">IF(NOTA[[#This Row],[ID_H]]="","",MATCH(NOTA[[#This Row],[NB NOTA_C_QTY]],[4]!db[NB NOTA_C_QTY+F],0))</f>
        <v>#REF!</v>
      </c>
      <c r="AX514" s="53">
        <f ca="1">IF(NOTA[[#This Row],[NB NOTA_C_QTY]]="","",ROW()-2)</f>
        <v>512</v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>
        <f ca="1">IF(NOTA[[#This Row],[NAMA BARANG]]="","",INDEX(NOTA[ID],MATCH(,INDIRECT(ADDRESS(ROW(NOTA[ID]),COLUMN(NOTA[ID]))&amp;":"&amp;ADDRESS(ROW(),COLUMN(NOTA[ID]))),-1)))</f>
        <v>102</v>
      </c>
      <c r="E515" s="46"/>
      <c r="F515" s="37"/>
      <c r="G515" s="37"/>
      <c r="H515" s="47"/>
      <c r="I515" s="37"/>
      <c r="J515" s="39"/>
      <c r="K515" s="37"/>
      <c r="L515" s="37" t="s">
        <v>505</v>
      </c>
      <c r="M515" s="40">
        <v>2</v>
      </c>
      <c r="O515" s="37"/>
      <c r="P515" s="41"/>
      <c r="Q515" s="42">
        <v>5616000</v>
      </c>
      <c r="R515" s="48"/>
      <c r="S515" s="49">
        <v>0.17</v>
      </c>
      <c r="T515" s="44"/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11232000</v>
      </c>
      <c r="Y515" s="50">
        <f>IF(NOTA[[#This Row],[JUMLAH]]="","",NOTA[[#This Row],[JUMLAH]]*NOTA[[#This Row],[DISC 1]])</f>
        <v>1909440.0000000002</v>
      </c>
      <c r="Z515" s="50">
        <f>IF(NOTA[[#This Row],[JUMLAH]]="","",(NOTA[[#This Row],[JUMLAH]]-NOTA[[#This Row],[DISC 1-]])*NOTA[[#This Row],[DISC 2]])</f>
        <v>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1909440.0000000002</v>
      </c>
      <c r="AC515" s="50">
        <f>IF(NOTA[[#This Row],[JUMLAH]]="","",NOTA[[#This Row],[JUMLAH]]-NOTA[[#This Row],[DISC]])</f>
        <v>9322560</v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50" t="str">
        <f>IF(OR(NOTA[[#This Row],[QTY]]="",NOTA[[#This Row],[HARGA SATUAN]]="",),"",NOTA[[#This Row],[QTY]]*NOTA[[#This Row],[HARGA SATUAN]])</f>
        <v/>
      </c>
      <c r="AI515" s="39">
        <f ca="1">IF(NOTA[ID_H]="","",INDEX(NOTA[TANGGAL],MATCH(,INDIRECT(ADDRESS(ROW(NOTA[TANGGAL]),COLUMN(NOTA[TANGGAL]))&amp;":"&amp;ADDRESS(ROW(),COLUMN(NOTA[TANGGAL]))),-1)))</f>
        <v>45287</v>
      </c>
      <c r="AJ515" s="41" t="str">
        <f ca="1">IF(NOTA[[#This Row],[NAMA BARANG]]="","",INDEX(NOTA[SUPPLIER],MATCH(,INDIRECT(ADDRESS(ROW(NOTA[ID]),COLUMN(NOTA[ID]))&amp;":"&amp;ADDRESS(ROW(),COLUMN(NOTA[ID]))),-1)))</f>
        <v>KENKO SINAR INDONESIA</v>
      </c>
      <c r="AK515" s="41" t="str">
        <f ca="1">IF(NOTA[[#This Row],[ID_H]]="","",IF(NOTA[[#This Row],[FAKTUR]]="",INDIRECT(ADDRESS(ROW()-1,COLUMN())),NOTA[[#This Row],[FAKTUR]]))</f>
        <v>ARTO MORO</v>
      </c>
      <c r="AL515" s="38" t="str">
        <f ca="1">IF(NOTA[[#This Row],[ID]]="","",COUNTIF(NOTA[ID_H],NOTA[[#This Row],[ID_H]]))</f>
        <v/>
      </c>
      <c r="AM515" s="38">
        <f ca="1">IF(NOTA[[#This Row],[TGL.NOTA]]="",IF(NOTA[[#This Row],[SUPPLIER_H]]="","",AM514),MONTH(NOTA[[#This Row],[TGL.NOTA]]))</f>
        <v>12</v>
      </c>
      <c r="AN5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>
        <f>IF(NOTA[[#This Row],[CONCAT1]]="","",MATCH(NOTA[[#This Row],[CONCAT1]],[3]!db[NB NOTA_C],0))</f>
        <v>1633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15" s="38" t="e">
        <f ca="1">IF(NOTA[[#This Row],[ID_H]]="","",MATCH(NOTA[[#This Row],[NB NOTA_C_QTY]],[4]!db[NB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>
        <f ca="1">IF(NOTA[[#This Row],[NAMA BARANG]]="","",INDEX(NOTA[ID],MATCH(,INDIRECT(ADDRESS(ROW(NOTA[ID]),COLUMN(NOTA[ID]))&amp;":"&amp;ADDRESS(ROW(),COLUMN(NOTA[ID]))),-1)))</f>
        <v>102</v>
      </c>
      <c r="E516" s="46"/>
      <c r="F516" s="37"/>
      <c r="G516" s="37"/>
      <c r="H516" s="47"/>
      <c r="I516" s="37"/>
      <c r="J516" s="39"/>
      <c r="K516" s="37"/>
      <c r="L516" s="37" t="s">
        <v>569</v>
      </c>
      <c r="M516" s="40">
        <v>1</v>
      </c>
      <c r="O516" s="37"/>
      <c r="P516" s="41"/>
      <c r="Q516" s="42">
        <v>2352000</v>
      </c>
      <c r="R516" s="48"/>
      <c r="S516" s="49">
        <v>0.17</v>
      </c>
      <c r="T516" s="44"/>
      <c r="U516" s="44"/>
      <c r="V516" s="50"/>
      <c r="W516" s="45"/>
      <c r="X516" s="50">
        <f>IF(NOTA[[#This Row],[HARGA/ CTN]]="",NOTA[[#This Row],[JUMLAH_H]],NOTA[[#This Row],[HARGA/ CTN]]*IF(NOTA[[#This Row],[C]]="",0,NOTA[[#This Row],[C]]))</f>
        <v>2352000</v>
      </c>
      <c r="Y516" s="50">
        <f>IF(NOTA[[#This Row],[JUMLAH]]="","",NOTA[[#This Row],[JUMLAH]]*NOTA[[#This Row],[DISC 1]])</f>
        <v>399840</v>
      </c>
      <c r="Z516" s="50">
        <f>IF(NOTA[[#This Row],[JUMLAH]]="","",(NOTA[[#This Row],[JUMLAH]]-NOTA[[#This Row],[DISC 1-]])*NOTA[[#This Row],[DISC 2]])</f>
        <v>0</v>
      </c>
      <c r="AA516" s="50">
        <f>IF(NOTA[[#This Row],[JUMLAH]]="","",(NOTA[[#This Row],[JUMLAH]]-NOTA[[#This Row],[DISC 1-]]-NOTA[[#This Row],[DISC 2-]])*NOTA[[#This Row],[DISC 3]])</f>
        <v>0</v>
      </c>
      <c r="AB516" s="50">
        <f>IF(NOTA[[#This Row],[JUMLAH]]="","",NOTA[[#This Row],[DISC 1-]]+NOTA[[#This Row],[DISC 2-]]+NOTA[[#This Row],[DISC 3-]])</f>
        <v>399840</v>
      </c>
      <c r="AC516" s="50">
        <f>IF(NOTA[[#This Row],[JUMLAH]]="","",NOTA[[#This Row],[JUMLAH]]-NOTA[[#This Row],[DISC]])</f>
        <v>1952160</v>
      </c>
      <c r="AD516" s="50"/>
      <c r="AE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6128160.0000000009</v>
      </c>
      <c r="AF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29919840</v>
      </c>
      <c r="AG51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6" s="50" t="str">
        <f>IF(OR(NOTA[[#This Row],[QTY]]="",NOTA[[#This Row],[HARGA SATUAN]]="",),"",NOTA[[#This Row],[QTY]]*NOTA[[#This Row],[HARGA SATUAN]])</f>
        <v/>
      </c>
      <c r="AI516" s="39">
        <f ca="1">IF(NOTA[ID_H]="","",INDEX(NOTA[TANGGAL],MATCH(,INDIRECT(ADDRESS(ROW(NOTA[TANGGAL]),COLUMN(NOTA[TANGGAL]))&amp;":"&amp;ADDRESS(ROW(),COLUMN(NOTA[TANGGAL]))),-1)))</f>
        <v>45287</v>
      </c>
      <c r="AJ516" s="41" t="str">
        <f ca="1">IF(NOTA[[#This Row],[NAMA BARANG]]="","",INDEX(NOTA[SUPPLIER],MATCH(,INDIRECT(ADDRESS(ROW(NOTA[ID]),COLUMN(NOTA[ID]))&amp;":"&amp;ADDRESS(ROW(),COLUMN(NOTA[ID]))),-1)))</f>
        <v>KENKO SINAR INDONESIA</v>
      </c>
      <c r="AK516" s="41" t="str">
        <f ca="1">IF(NOTA[[#This Row],[ID_H]]="","",IF(NOTA[[#This Row],[FAKTUR]]="",INDIRECT(ADDRESS(ROW()-1,COLUMN())),NOTA[[#This Row],[FAKTUR]]))</f>
        <v>ARTO MORO</v>
      </c>
      <c r="AL516" s="38" t="str">
        <f ca="1">IF(NOTA[[#This Row],[ID]]="","",COUNTIF(NOTA[ID_H],NOTA[[#This Row],[ID_H]]))</f>
        <v/>
      </c>
      <c r="AM516" s="38">
        <f ca="1">IF(NOTA[[#This Row],[TGL.NOTA]]="",IF(NOTA[[#This Row],[SUPPLIER_H]]="","",AM515),MONTH(NOTA[[#This Row],[TGL.NOTA]]))</f>
        <v>12</v>
      </c>
      <c r="AN51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>
        <f>IF(NOTA[[#This Row],[CONCAT1]]="","",MATCH(NOTA[[#This Row],[CONCAT1]],[3]!db[NB NOTA_C],0))</f>
        <v>1792</v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>20 LSN</v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16" s="38" t="e">
        <f ca="1">IF(NOTA[[#This Row],[ID_H]]="","",MATCH(NOTA[[#This Row],[NB NOTA_C_QTY]],[4]!db[NB NOTA_C_QTY+F],0))</f>
        <v>#REF!</v>
      </c>
      <c r="AX516" s="53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MSI_2812_290-1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103</v>
      </c>
      <c r="E518" s="57">
        <v>45288</v>
      </c>
      <c r="F518" s="37" t="s">
        <v>370</v>
      </c>
      <c r="G518" s="37" t="s">
        <v>127</v>
      </c>
      <c r="H518" s="47" t="s">
        <v>573</v>
      </c>
      <c r="I518" s="58"/>
      <c r="J518" s="60">
        <v>45280</v>
      </c>
      <c r="K518" s="58"/>
      <c r="L518" s="37" t="s">
        <v>574</v>
      </c>
      <c r="M518" s="61">
        <v>5</v>
      </c>
      <c r="N518" s="56">
        <v>25000</v>
      </c>
      <c r="O518" s="37" t="s">
        <v>152</v>
      </c>
      <c r="P518" s="55">
        <v>350</v>
      </c>
      <c r="Q518" s="62"/>
      <c r="R518" s="48" t="s">
        <v>575</v>
      </c>
      <c r="S518" s="64"/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8750000</v>
      </c>
      <c r="Y518" s="66">
        <f>IF(NOTA[[#This Row],[JUMLAH]]="","",NOTA[[#This Row],[JUMLAH]]*NOTA[[#This Row],[DISC 1]])</f>
        <v>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0</v>
      </c>
      <c r="AC518" s="66">
        <f>IF(NOTA[[#This Row],[JUMLAH]]="","",NOTA[[#This Row],[JUMLAH]]-NOTA[[#This Row],[DISC]])</f>
        <v>8750000</v>
      </c>
      <c r="AD518" s="66"/>
      <c r="AE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18" s="66">
        <f>IF(OR(NOTA[[#This Row],[QTY]]="",NOTA[[#This Row],[HARGA SATUAN]]="",),"",NOTA[[#This Row],[QTY]]*NOTA[[#This Row],[HARGA SATUAN]])</f>
        <v>8750000</v>
      </c>
      <c r="AI518" s="60">
        <f ca="1">IF(NOTA[ID_H]="","",INDEX(NOTA[TANGGAL],MATCH(,INDIRECT(ADDRESS(ROW(NOTA[TANGGAL]),COLUMN(NOTA[TANGGAL]))&amp;":"&amp;ADDRESS(ROW(),COLUMN(NOTA[TANGGAL]))),-1)))</f>
        <v>45288</v>
      </c>
      <c r="AJ518" s="55" t="str">
        <f ca="1">IF(NOTA[[#This Row],[NAMA BARANG]]="","",INDEX(NOTA[SUPPLIER],MATCH(,INDIRECT(ADDRESS(ROW(NOTA[ID]),COLUMN(NOTA[ID]))&amp;":"&amp;ADDRESS(ROW(),COLUMN(NOTA[ID]))),-1)))</f>
        <v>MSI</v>
      </c>
      <c r="AK518" s="55" t="str">
        <f ca="1">IF(NOTA[[#This Row],[ID_H]]="","",IF(NOTA[[#This Row],[FAKTUR]]="",INDIRECT(ADDRESS(ROW()-1,COLUMN())),NOTA[[#This Row],[FAKTUR]]))</f>
        <v>UNTANA</v>
      </c>
      <c r="AL518" s="56">
        <f ca="1">IF(NOTA[[#This Row],[ID]]="","",COUNTIF(NOTA[ID_H],NOTA[[#This Row],[ID_H]]))</f>
        <v>1</v>
      </c>
      <c r="AM518" s="56">
        <f>IF(NOTA[[#This Row],[TGL.NOTA]]="",IF(NOTA[[#This Row],[SUPPLIER_H]]="","",AM517),MONTH(NOTA[[#This Row],[TGL.NOTA]]))</f>
        <v>12</v>
      </c>
      <c r="AN518" s="56" t="str">
        <f>LOWER(SUBSTITUTE(SUBSTITUTE(SUBSTITUTE(SUBSTITUTE(SUBSTITUTE(SUBSTITUTE(SUBSTITUTE(SUBSTITUTE(SUBSTITUTE(NOTA[NAMA BARANG]," ",),".",""),"-",""),"(",""),")",""),",",""),"/",""),"""",""),"+",""))</f>
        <v>talinametaghitam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talinametaghitam1750000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talinametaghitam1750000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MSIUNTANA23/XII/29045280talinametaghitam</v>
      </c>
      <c r="AR518" s="56" t="e">
        <f>IF(NOTA[[#This Row],[CONCAT4]]="","",_xlfn.IFNA(MATCH(NOTA[[#This Row],[CONCAT4]],[2]!RAW[CONCAT_H],0),FALSE))</f>
        <v>#REF!</v>
      </c>
      <c r="AS518" s="56" t="e">
        <f>IF(NOTA[[#This Row],[CONCAT1]]="","",MATCH(NOTA[[#This Row],[CONCAT1]],[3]!db[NB NOTA_C],0))</f>
        <v>#N/A</v>
      </c>
      <c r="AT518" s="56" t="b">
        <f>IF(NOTA[[#This Row],[QTY/ CTN]]="","",TRUE)</f>
        <v>1</v>
      </c>
      <c r="AU518" s="56" t="str">
        <f ca="1">IF(NOTA[[#This Row],[ID_H]]="","",IF(NOTA[[#This Row],[Column3]]=TRUE,NOTA[[#This Row],[QTY/ CTN]],INDEX([3]!db[QTY/ CTN],NOTA[[#This Row],[//DB]])))</f>
        <v>5000 PCS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talinametaghitam5000pcsuntana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GUN_2812_122-1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104</v>
      </c>
      <c r="E520" s="57">
        <v>45288</v>
      </c>
      <c r="F520" s="37" t="s">
        <v>142</v>
      </c>
      <c r="G520" s="37" t="s">
        <v>127</v>
      </c>
      <c r="H520" s="47" t="s">
        <v>576</v>
      </c>
      <c r="I520" s="58"/>
      <c r="J520" s="60">
        <v>45280</v>
      </c>
      <c r="K520" s="58"/>
      <c r="L520" s="37" t="s">
        <v>577</v>
      </c>
      <c r="M520" s="61">
        <v>2</v>
      </c>
      <c r="N520" s="56">
        <v>120</v>
      </c>
      <c r="O520" s="37" t="s">
        <v>130</v>
      </c>
      <c r="P520" s="55">
        <v>49200</v>
      </c>
      <c r="Q520" s="62"/>
      <c r="R520" s="48" t="s">
        <v>578</v>
      </c>
      <c r="S520" s="64">
        <v>0.05</v>
      </c>
      <c r="T520" s="65">
        <v>0.1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5904000</v>
      </c>
      <c r="Y520" s="66">
        <f>IF(NOTA[[#This Row],[JUMLAH]]="","",NOTA[[#This Row],[JUMLAH]]*NOTA[[#This Row],[DISC 1]])</f>
        <v>295200</v>
      </c>
      <c r="Z520" s="66">
        <f>IF(NOTA[[#This Row],[JUMLAH]]="","",(NOTA[[#This Row],[JUMLAH]]-NOTA[[#This Row],[DISC 1-]])*NOTA[[#This Row],[DISC 2]])</f>
        <v>560880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856080</v>
      </c>
      <c r="AC520" s="66">
        <f>IF(NOTA[[#This Row],[JUMLAH]]="","",NOTA[[#This Row],[JUMLAH]]-NOTA[[#This Row],[DISC]])</f>
        <v>5047920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0" s="66">
        <f>IF(OR(NOTA[[#This Row],[QTY]]="",NOTA[[#This Row],[HARGA SATUAN]]="",),"",NOTA[[#This Row],[QTY]]*NOTA[[#This Row],[HARGA SATUAN]])</f>
        <v>5904000</v>
      </c>
      <c r="AI520" s="60">
        <f ca="1">IF(NOTA[ID_H]="","",INDEX(NOTA[TANGGAL],MATCH(,INDIRECT(ADDRESS(ROW(NOTA[TANGGAL]),COLUMN(NOTA[TANGGAL]))&amp;":"&amp;ADDRESS(ROW(),COLUMN(NOTA[TANGGAL]))),-1)))</f>
        <v>45288</v>
      </c>
      <c r="AJ520" s="55" t="str">
        <f ca="1">IF(NOTA[[#This Row],[NAMA BARANG]]="","",INDEX(NOTA[SUPPLIER],MATCH(,INDIRECT(ADDRESS(ROW(NOTA[ID]),COLUMN(NOTA[ID]))&amp;":"&amp;ADDRESS(ROW(),COLUMN(NOTA[ID]))),-1)))</f>
        <v>GUNINDO</v>
      </c>
      <c r="AK520" s="55" t="str">
        <f ca="1">IF(NOTA[[#This Row],[ID_H]]="","",IF(NOTA[[#This Row],[FAKTUR]]="",INDIRECT(ADDRESS(ROW()-1,COLUMN())),NOTA[[#This Row],[FAKTUR]]))</f>
        <v>UNTANA</v>
      </c>
      <c r="AL520" s="56">
        <f ca="1">IF(NOTA[[#This Row],[ID]]="","",COUNTIF(NOTA[ID_H],NOTA[[#This Row],[ID_H]]))</f>
        <v>1</v>
      </c>
      <c r="AM520" s="56">
        <f>IF(NOTA[[#This Row],[TGL.NOTA]]="",IF(NOTA[[#This Row],[SUPPLIER_H]]="","",AM519),MONTH(NOTA[[#This Row],[TGL.NOTA]]))</f>
        <v>12</v>
      </c>
      <c r="AN52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GUNINDOUNTANA231212245280ossgunindo</v>
      </c>
      <c r="AR520" s="56" t="e">
        <f>IF(NOTA[[#This Row],[CONCAT4]]="","",_xlfn.IFNA(MATCH(NOTA[[#This Row],[CONCAT4]],[2]!RAW[CONCAT_H],0),FALSE))</f>
        <v>#REF!</v>
      </c>
      <c r="AS520" s="56">
        <f>IF(NOTA[[#This Row],[CONCAT1]]="","",MATCH(NOTA[[#This Row],[CONCAT1]],[3]!db[NB NOTA_C],0))</f>
        <v>2210</v>
      </c>
      <c r="AT520" s="56" t="b">
        <f>IF(NOTA[[#This Row],[QTY/ CTN]]="","",TRUE)</f>
        <v>1</v>
      </c>
      <c r="AU520" s="56" t="str">
        <f ca="1">IF(NOTA[[#This Row],[ID_H]]="","",IF(NOTA[[#This Row],[Column3]]=TRUE,NOTA[[#This Row],[QTY/ CTN]],INDEX([3]!db[QTY/ CTN],NOTA[[#This Row],[//DB]])))</f>
        <v>60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COM_2612_-1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>
        <v>45286</v>
      </c>
      <c r="F522" s="37" t="s">
        <v>146</v>
      </c>
      <c r="G522" s="37" t="s">
        <v>127</v>
      </c>
      <c r="H522" s="47"/>
      <c r="I522" s="58"/>
      <c r="J522" s="60">
        <v>45286</v>
      </c>
      <c r="K522" s="58"/>
      <c r="L522" s="37" t="s">
        <v>579</v>
      </c>
      <c r="M522" s="61"/>
      <c r="N522" s="56">
        <v>5</v>
      </c>
      <c r="O522" s="37" t="s">
        <v>130</v>
      </c>
      <c r="P522" s="55">
        <v>180000</v>
      </c>
      <c r="Q522" s="62"/>
      <c r="R522" s="48" t="s">
        <v>251</v>
      </c>
      <c r="S522" s="64"/>
      <c r="T522" s="65"/>
      <c r="U522" s="65"/>
      <c r="V522" s="66"/>
      <c r="W522" s="45" t="s">
        <v>580</v>
      </c>
      <c r="X522" s="66">
        <f>IF(NOTA[[#This Row],[HARGA/ CTN]]="",NOTA[[#This Row],[JUMLAH_H]],NOTA[[#This Row],[HARGA/ CTN]]*IF(NOTA[[#This Row],[C]]="",0,NOTA[[#This Row],[C]]))</f>
        <v>900000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900000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22" s="66">
        <f>IF(OR(NOTA[[#This Row],[QTY]]="",NOTA[[#This Row],[HARGA SATUAN]]="",),"",NOTA[[#This Row],[QTY]]*NOTA[[#This Row],[HARGA SATUAN]])</f>
        <v>900000</v>
      </c>
      <c r="AI522" s="60">
        <f ca="1">IF(NOTA[ID_H]="","",INDEX(NOTA[TANGGAL],MATCH(,INDIRECT(ADDRESS(ROW(NOTA[TANGGAL]),COLUMN(NOTA[TANGGAL]))&amp;":"&amp;ADDRESS(ROW(),COLUMN(NOTA[TANGGAL]))),-1)))</f>
        <v>45286</v>
      </c>
      <c r="AJ522" s="55" t="str">
        <f ca="1">IF(NOTA[[#This Row],[NAMA BARANG]]="","",INDEX(NOTA[SUPPLIER],MATCH(,INDIRECT(ADDRESS(ROW(NOTA[ID]),COLUMN(NOTA[ID]))&amp;":"&amp;ADDRESS(ROW(),COLUMN(NOTA[ID]))),-1)))</f>
        <v>COMBI</v>
      </c>
      <c r="AK522" s="55" t="str">
        <f ca="1">IF(NOTA[[#This Row],[ID_H]]="","",IF(NOTA[[#This Row],[FAKTUR]]="",INDIRECT(ADDRESS(ROW()-1,COLUMN())),NOTA[[#This Row],[FAKTUR]]))</f>
        <v>UNTANA</v>
      </c>
      <c r="AL522" s="56">
        <f ca="1">IF(NOTA[[#This Row],[ID]]="","",COUNTIF(NOTA[ID_H],NOTA[[#This Row],[ID_H]]))</f>
        <v>1</v>
      </c>
      <c r="AM522" s="56">
        <f>IF(NOTA[[#This Row],[TGL.NOTA]]="",IF(NOTA[[#This Row],[SUPPLIER_H]]="","",AM521),MONTH(NOTA[[#This Row],[TGL.NOTA]]))</f>
        <v>12</v>
      </c>
      <c r="AN522" s="56" t="str">
        <f>LOWER(SUBSTITUTE(SUBSTITUTE(SUBSTITUTE(SUBSTITUTE(SUBSTITUTE(SUBSTITUTE(SUBSTITUTE(SUBSTITUTE(SUBSTITUTE(NOTA[NAMA BARANG]," ",),".",""),"-",""),"(",""),")",""),",",""),"/",""),"""",""),"+",""))</f>
        <v>docinfinity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docinfinity900000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docinfinity180000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COMBIUNTANA45286docinfinity</v>
      </c>
      <c r="AR522" s="56" t="e">
        <f>IF(NOTA[[#This Row],[CONCAT4]]="","",_xlfn.IFNA(MATCH(NOTA[[#This Row],[CONCAT4]],[2]!RAW[CONCAT_H],0),FALSE))</f>
        <v>#REF!</v>
      </c>
      <c r="AS522" s="56" t="e">
        <f>IF(NOTA[[#This Row],[CONCAT1]]="","",MATCH(NOTA[[#This Row],[CONCAT1]],[3]!db[NB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CTN]],INDEX([3]!db[QTY/ CTN],NOTA[[#This Row],[//DB]])))</f>
        <v>8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docinfinity8lsnuntana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KEN_3012_982-1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106</v>
      </c>
      <c r="E524" s="57">
        <v>45290</v>
      </c>
      <c r="F524" s="37" t="s">
        <v>22</v>
      </c>
      <c r="G524" s="37" t="s">
        <v>23</v>
      </c>
      <c r="H524" s="47" t="s">
        <v>582</v>
      </c>
      <c r="I524" s="58"/>
      <c r="J524" s="60">
        <v>45286</v>
      </c>
      <c r="K524" s="58"/>
      <c r="L524" s="37" t="s">
        <v>446</v>
      </c>
      <c r="M524" s="61">
        <v>1</v>
      </c>
      <c r="N524" s="56"/>
      <c r="O524" s="58"/>
      <c r="P524" s="55"/>
      <c r="Q524" s="62">
        <v>1440000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1440000</v>
      </c>
      <c r="Y524" s="66">
        <f>IF(NOTA[[#This Row],[JUMLAH]]="","",NOTA[[#This Row],[JUMLAH]]*NOTA[[#This Row],[DISC 1]])</f>
        <v>244800.00000000003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244800.00000000003</v>
      </c>
      <c r="AC524" s="66">
        <f>IF(NOTA[[#This Row],[JUMLAH]]="","",NOTA[[#This Row],[JUMLAH]]-NOTA[[#This Row],[DISC]])</f>
        <v>1195200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244800.00000000003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1195200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24" s="66" t="str">
        <f>IF(OR(NOTA[[#This Row],[QTY]]="",NOTA[[#This Row],[HARGA SATUAN]]="",),"",NOTA[[#This Row],[QTY]]*NOTA[[#This Row],[HARGA SATUAN]])</f>
        <v/>
      </c>
      <c r="AI524" s="60">
        <f ca="1">IF(NOTA[ID_H]="","",INDEX(NOTA[TANGGAL],MATCH(,INDIRECT(ADDRESS(ROW(NOTA[TANGGAL]),COLUMN(NOTA[TANGGAL]))&amp;":"&amp;ADDRESS(ROW(),COLUMN(NOTA[TANGGAL]))),-1)))</f>
        <v>45290</v>
      </c>
      <c r="AJ524" s="55" t="str">
        <f ca="1">IF(NOTA[[#This Row],[NAMA BARANG]]="","",INDEX(NOTA[SUPPLIER],MATCH(,INDIRECT(ADDRESS(ROW(NOTA[ID]),COLUMN(NOTA[ID]))&amp;":"&amp;ADDRESS(ROW(),COLUMN(NOTA[ID]))),-1)))</f>
        <v>KENKO SINAR INDONESIA</v>
      </c>
      <c r="AK524" s="55" t="str">
        <f ca="1">IF(NOTA[[#This Row],[ID_H]]="","",IF(NOTA[[#This Row],[FAKTUR]]="",INDIRECT(ADDRESS(ROW()-1,COLUMN())),NOTA[[#This Row],[FAKTUR]]))</f>
        <v>ARTO MORO</v>
      </c>
      <c r="AL524" s="56">
        <f ca="1">IF(NOTA[[#This Row],[ID]]="","",COUNTIF(NOTA[ID_H],NOTA[[#This Row],[ID_H]]))</f>
        <v>1</v>
      </c>
      <c r="AM524" s="56">
        <f>IF(NOTA[[#This Row],[TGL.NOTA]]="",IF(NOTA[[#This Row],[SUPPLIER_H]]="","",#REF!),MONTH(NOTA[[#This Row],[TGL.NOTA]]))</f>
        <v>12</v>
      </c>
      <c r="AN524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MORO2312198245286kenkobinderclipno105</v>
      </c>
      <c r="AR524" s="56" t="e">
        <f>IF(NOTA[[#This Row],[CONCAT4]]="","",_xlfn.IFNA(MATCH(NOTA[[#This Row],[CONCAT4]],[2]!RAW[CONCAT_H],0),FALSE))</f>
        <v>#REF!</v>
      </c>
      <c r="AS524" s="56">
        <f>IF(NOTA[[#This Row],[CONCAT1]]="","",MATCH(NOTA[[#This Row],[CONCAT1]],[3]!db[NB NOTA_C],0))</f>
        <v>1508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50 GRS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RAP_0612_084-2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>
        <v>45266</v>
      </c>
      <c r="F526" s="37" t="s">
        <v>57</v>
      </c>
      <c r="G526" s="37" t="s">
        <v>23</v>
      </c>
      <c r="H526" s="47" t="s">
        <v>584</v>
      </c>
      <c r="I526" s="58"/>
      <c r="J526" s="60">
        <v>45631</v>
      </c>
      <c r="K526" s="58"/>
      <c r="L526" s="37" t="s">
        <v>587</v>
      </c>
      <c r="M526" s="61">
        <v>3</v>
      </c>
      <c r="N526" s="56">
        <f>96*3</f>
        <v>288</v>
      </c>
      <c r="O526" s="37" t="s">
        <v>130</v>
      </c>
      <c r="P526" s="55">
        <v>26500</v>
      </c>
      <c r="Q526" s="62"/>
      <c r="R526" s="63"/>
      <c r="S526" s="64">
        <v>0.03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7632000</v>
      </c>
      <c r="Y526" s="66">
        <f>IF(NOTA[[#This Row],[JUMLAH]]="","",NOTA[[#This Row],[JUMLAH]]*NOTA[[#This Row],[DISC 1]])</f>
        <v>228960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228960</v>
      </c>
      <c r="AC526" s="66">
        <f>IF(NOTA[[#This Row],[JUMLAH]]="","",NOTA[[#This Row],[JUMLAH]]-NOTA[[#This Row],[DISC]])</f>
        <v>7403040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6" s="66">
        <f>IF(OR(NOTA[[#This Row],[QTY]]="",NOTA[[#This Row],[HARGA SATUAN]]="",),"",NOTA[[#This Row],[QTY]]*NOTA[[#This Row],[HARGA SATUAN]])</f>
        <v>7632000</v>
      </c>
      <c r="AI526" s="60">
        <f ca="1">IF(NOTA[ID_H]="","",INDEX(NOTA[TANGGAL],MATCH(,INDIRECT(ADDRESS(ROW(NOTA[TANGGAL]),COLUMN(NOTA[TANGGAL]))&amp;":"&amp;ADDRESS(ROW(),COLUMN(NOTA[TANGGAL]))),-1)))</f>
        <v>45266</v>
      </c>
      <c r="AJ526" s="55" t="str">
        <f ca="1">IF(NOTA[[#This Row],[NAMA BARANG]]="","",INDEX(NOTA[SUPPLIER],MATCH(,INDIRECT(ADDRESS(ROW(NOTA[ID]),COLUMN(NOTA[ID]))&amp;":"&amp;ADDRESS(ROW(),COLUMN(NOTA[ID]))),-1)))</f>
        <v>RAPINAN BROTHER</v>
      </c>
      <c r="AK526" s="55" t="str">
        <f ca="1">IF(NOTA[[#This Row],[ID_H]]="","",IF(NOTA[[#This Row],[FAKTUR]]="",INDIRECT(ADDRESS(ROW()-1,COLUMN())),NOTA[[#This Row],[FAKTUR]]))</f>
        <v>ARTO MORO</v>
      </c>
      <c r="AL526" s="56">
        <f ca="1">IF(NOTA[[#This Row],[ID]]="","",COUNTIF(NOTA[ID_H],NOTA[[#This Row],[ID_H]]))</f>
        <v>2</v>
      </c>
      <c r="AM526" s="56">
        <f>IF(NOTA[[#This Row],[TGL.NOTA]]="",IF(NOTA[[#This Row],[SUPPLIER_H]]="","",AM525),MONTH(NOTA[[#This Row],[TGL.NOTA]]))</f>
        <v>12</v>
      </c>
      <c r="AN526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MOROHMP/08445631ballpentf1190htm03mmhightech</v>
      </c>
      <c r="AR526" s="56" t="e">
        <f>IF(NOTA[[#This Row],[CONCAT4]]="","",_xlfn.IFNA(MATCH(NOTA[[#This Row],[CONCAT4]],[2]!RAW[CONCAT_H],0),FALSE))</f>
        <v>#REF!</v>
      </c>
      <c r="AS526" s="56">
        <f>IF(NOTA[[#This Row],[CONCAT1]]="","",MATCH(NOTA[[#This Row],[CONCAT1]],[3]!db[NB NOTA_C],0))</f>
        <v>162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96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37"/>
      <c r="G527" s="37"/>
      <c r="H527" s="47"/>
      <c r="I527" s="58"/>
      <c r="J527" s="60"/>
      <c r="K527" s="58"/>
      <c r="L527" s="37" t="s">
        <v>494</v>
      </c>
      <c r="M527" s="61">
        <v>1</v>
      </c>
      <c r="N527" s="56">
        <f>96</f>
        <v>96</v>
      </c>
      <c r="O527" s="37" t="s">
        <v>130</v>
      </c>
      <c r="P527" s="55">
        <v>26500</v>
      </c>
      <c r="Q527" s="62"/>
      <c r="R527" s="63"/>
      <c r="S527" s="64">
        <v>0.03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2544000</v>
      </c>
      <c r="Y527" s="66">
        <f>IF(NOTA[[#This Row],[JUMLAH]]="","",NOTA[[#This Row],[JUMLAH]]*NOTA[[#This Row],[DISC 1]])</f>
        <v>76320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76320</v>
      </c>
      <c r="AC527" s="66">
        <f>IF(NOTA[[#This Row],[JUMLAH]]="","",NOTA[[#This Row],[JUMLAH]]-NOTA[[#This Row],[DISC]])</f>
        <v>2467680</v>
      </c>
      <c r="AD527" s="66"/>
      <c r="AE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7" s="66">
        <f>IF(OR(NOTA[[#This Row],[QTY]]="",NOTA[[#This Row],[HARGA SATUAN]]="",),"",NOTA[[#This Row],[QTY]]*NOTA[[#This Row],[HARGA SATUAN]])</f>
        <v>2544000</v>
      </c>
      <c r="AI527" s="60">
        <f ca="1">IF(NOTA[ID_H]="","",INDEX(NOTA[TANGGAL],MATCH(,INDIRECT(ADDRESS(ROW(NOTA[TANGGAL]),COLUMN(NOTA[TANGGAL]))&amp;":"&amp;ADDRESS(ROW(),COLUMN(NOTA[TANGGAL]))),-1)))</f>
        <v>45266</v>
      </c>
      <c r="AJ527" s="55" t="str">
        <f ca="1">IF(NOTA[[#This Row],[NAMA BARANG]]="","",INDEX(NOTA[SUPPLIER],MATCH(,INDIRECT(ADDRESS(ROW(NOTA[ID]),COLUMN(NOTA[ID]))&amp;":"&amp;ADDRESS(ROW(),COLUMN(NOTA[ID]))),-1)))</f>
        <v>RAPINAN BROTHER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12</v>
      </c>
      <c r="AN527" s="56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151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96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58"/>
      <c r="M528" s="61"/>
      <c r="N528" s="56"/>
      <c r="O528" s="58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Row],[SUPPLIER_H]]="","",AM526),MONTH(NOTA[[#This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RAP_2312_089-1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108</v>
      </c>
      <c r="E529" s="57">
        <v>45283</v>
      </c>
      <c r="F529" s="37" t="s">
        <v>57</v>
      </c>
      <c r="G529" s="37" t="s">
        <v>23</v>
      </c>
      <c r="H529" s="47" t="s">
        <v>583</v>
      </c>
      <c r="I529" s="58"/>
      <c r="J529" s="60">
        <v>45646</v>
      </c>
      <c r="K529" s="58"/>
      <c r="L529" s="37" t="s">
        <v>587</v>
      </c>
      <c r="M529" s="61">
        <v>2</v>
      </c>
      <c r="N529" s="56">
        <v>192</v>
      </c>
      <c r="O529" s="37" t="s">
        <v>130</v>
      </c>
      <c r="P529" s="55">
        <v>26500</v>
      </c>
      <c r="Q529" s="62"/>
      <c r="R529" s="63"/>
      <c r="S529" s="64">
        <v>0.03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5088000</v>
      </c>
      <c r="Y529" s="66">
        <f>IF(NOTA[[#This Row],[JUMLAH]]="","",NOTA[[#This Row],[JUMLAH]]*NOTA[[#This Row],[DISC 1]])</f>
        <v>152640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152640</v>
      </c>
      <c r="AC529" s="66">
        <f>IF(NOTA[[#This Row],[JUMLAH]]="","",NOTA[[#This Row],[JUMLAH]]-NOTA[[#This Row],[DISC]])</f>
        <v>4935360</v>
      </c>
      <c r="AD529" s="66"/>
      <c r="AE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9" s="66">
        <f>IF(OR(NOTA[[#This Row],[QTY]]="",NOTA[[#This Row],[HARGA SATUAN]]="",),"",NOTA[[#This Row],[QTY]]*NOTA[[#This Row],[HARGA SATUAN]])</f>
        <v>5088000</v>
      </c>
      <c r="AI529" s="60">
        <f ca="1">IF(NOTA[ID_H]="","",INDEX(NOTA[TANGGAL],MATCH(,INDIRECT(ADDRESS(ROW(NOTA[TANGGAL]),COLUMN(NOTA[TANGGAL]))&amp;":"&amp;ADDRESS(ROW(),COLUMN(NOTA[TANGGAL]))),-1)))</f>
        <v>45283</v>
      </c>
      <c r="AJ529" s="55" t="str">
        <f ca="1">IF(NOTA[[#This Row],[NAMA BARANG]]="","",INDEX(NOTA[SUPPLIER],MATCH(,INDIRECT(ADDRESS(ROW(NOTA[ID]),COLUMN(NOTA[ID]))&amp;":"&amp;ADDRESS(ROW(),COLUMN(NOTA[ID]))),-1)))</f>
        <v>RAPINAN BROTHER</v>
      </c>
      <c r="AK529" s="55" t="str">
        <f ca="1">IF(NOTA[[#This Row],[ID_H]]="","",IF(NOTA[[#This Row],[FAKTUR]]="",INDIRECT(ADDRESS(ROW()-1,COLUMN())),NOTA[[#This Row],[FAKTUR]]))</f>
        <v>ARTO MORO</v>
      </c>
      <c r="AL529" s="56">
        <f ca="1">IF(NOTA[[#This Row],[ID]]="","",COUNTIF(NOTA[ID_H],NOTA[[#This Row],[ID_H]]))</f>
        <v>1</v>
      </c>
      <c r="AM529" s="56">
        <f>IF(NOTA[[#This Row],[TGL.NOTA]]="",IF(NOTA[[#This Row],[SUPPLIER_H]]="","",AM528),MONTH(NOTA[[#This Row],[TGL.NOTA]]))</f>
        <v>12</v>
      </c>
      <c r="AN529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MOROHMP/08945646ballpentf1190htm03mmhightech</v>
      </c>
      <c r="AR529" s="56" t="e">
        <f>IF(NOTA[[#This Row],[CONCAT4]]="","",_xlfn.IFNA(MATCH(NOTA[[#This Row],[CONCAT4]],[2]!RAW[CONCAT_H],0),FALSE))</f>
        <v>#REF!</v>
      </c>
      <c r="AS529" s="56">
        <f>IF(NOTA[[#This Row],[CONCAT1]]="","",MATCH(NOTA[[#This Row],[CONCAT1]],[3]!db[NB NOTA_C],0))</f>
        <v>162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96 LSN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58"/>
      <c r="M530" s="61"/>
      <c r="N530" s="56"/>
      <c r="O530" s="58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58"/>
      <c r="M536" s="61"/>
      <c r="N536" s="56"/>
      <c r="O536" s="58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58"/>
      <c r="M553" s="61"/>
      <c r="N553" s="56"/>
      <c r="O553" s="58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58"/>
      <c r="M554" s="61"/>
      <c r="N554" s="56"/>
      <c r="O554" s="58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58"/>
      <c r="M555" s="61"/>
      <c r="N555" s="56"/>
      <c r="O555" s="58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58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58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</sheetData>
  <conditionalFormatting sqref="B24:C1048576 B1:C21">
    <cfRule type="duplicateValues" dxfId="306" priority="1637"/>
    <cfRule type="duplicateValues" dxfId="305" priority="1638"/>
  </conditionalFormatting>
  <conditionalFormatting sqref="B24:B1048576 B1:B21">
    <cfRule type="duplicateValues" dxfId="304" priority="1643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H1:H13 H62:H241 H310:H473 H498:H510 H243:H308 H475:H496 H512:H1048576">
    <cfRule type="duplicateValues" dxfId="292" priority="2047"/>
  </conditionalFormatting>
  <conditionalFormatting sqref="AQ3:AQ21 AQ24:AQ745">
    <cfRule type="duplicateValues" dxfId="291" priority="2430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topLeftCell="G1" workbookViewId="0">
      <selection activeCell="J3" sqref="J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22.710937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</f>
        <v>4559900</v>
      </c>
      <c r="J3" s="1">
        <f ca="1">IF(LMA[[#This Row],[//PAJAK]]="","",INDEX(PAJAK[DISC DLL],LMA[[#This Row],[//PAJAK]]-1))</f>
        <v>950100</v>
      </c>
      <c r="K3" s="1">
        <f ca="1">(LMA[[#This Row],[SUB TOTAL]]/1.11)</f>
        <v>4108018.0180180175</v>
      </c>
      <c r="L3" s="1">
        <f ca="1">LMA[[#This Row],[DPP]]*11%</f>
        <v>451881.98198198195</v>
      </c>
      <c r="M3" s="1">
        <f ca="1">LMA[[#This Row],[DPP]]+LMA[[#This Row],[PPN (11%)]]</f>
        <v>4559899.9999999991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HMP/085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526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68</v>
      </c>
      <c r="C4" s="12">
        <f ca="1">HYPERLINK("[NOTA_.xlsx]PAJAK!b"&amp;RAP[[#This Row],[//PAJAK]],IF(RAP[[#This Row],[//PAJAK]]="","",INDEX(INDIRECT("PAJAK["&amp;RAP[#Headers]&amp;"]"),RAP[[#This Row],[//PAJAK]]-1)))</f>
        <v>107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45266</v>
      </c>
      <c r="F4" s="2">
        <f ca="1">IF(RAP[[#This Row],[//PAJAK]]="","",INDEX(INDIRECT("PAJAK["&amp;RAP[#Headers]&amp;"]"),RAP[[#This Row],[//PAJAK]]-1))</f>
        <v>45631</v>
      </c>
      <c r="G4" t="str">
        <f ca="1">IF(RAP[[#This Row],[//PAJAK]]="","",INDEX(INDIRECT("PAJAK["&amp;RAP[#Headers]&amp;"]"),RAP[[#This Row],[//PAJAK]]-1))</f>
        <v>HMP/084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9870720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8892540.5405405406</v>
      </c>
      <c r="L4" s="1">
        <f ca="1">RAP[[#This Row],[DPP]]*11%</f>
        <v>978179.45945945953</v>
      </c>
      <c r="M4" s="1">
        <f ca="1">RAP[[#This Row],[DPP]]+RAP[[#This Row],[PPN (11%)]]</f>
        <v>9870720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529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69</v>
      </c>
      <c r="C5" s="12">
        <f ca="1">HYPERLINK("[NOTA_.xlsx]PAJAK!b"&amp;RAP[[#This Row],[//PAJAK]],IF(RAP[[#This Row],[//PAJAK]]="","",INDEX(INDIRECT("PAJAK["&amp;RAP[#Headers]&amp;"]"),RAP[[#This Row],[//PAJAK]]-1)))</f>
        <v>108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45283</v>
      </c>
      <c r="F5" s="2">
        <f ca="1">IF(RAP[[#This Row],[//PAJAK]]="","",INDEX(INDIRECT("PAJAK["&amp;RAP[#Headers]&amp;"]"),RAP[[#This Row],[//PAJAK]]-1))</f>
        <v>45646</v>
      </c>
      <c r="G5" s="3" t="str">
        <f ca="1">IF(RAP[[#This Row],[//PAJAK]]="","",INDEX(INDIRECT("PAJAK["&amp;RAP[#Headers]&amp;"]"),RAP[[#This Row],[//PAJAK]]-1))</f>
        <v>HMP/089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4935360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4446270.2702702703</v>
      </c>
      <c r="L5" s="1">
        <f ca="1">RAP[[#This Row],[DPP]]*11%</f>
        <v>489089.72972972976</v>
      </c>
      <c r="M5" s="1">
        <f ca="1">RAP[[#This Row],[DPP]]+RAP[[#This Row],[PPN (11%)]]</f>
        <v>4935360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529</v>
      </c>
      <c r="D2" t="s">
        <v>22</v>
      </c>
      <c r="E2" t="s">
        <v>59</v>
      </c>
      <c r="F2" t="s">
        <v>69</v>
      </c>
      <c r="G2">
        <f>COUNTIF(NOTA[SUPPLIER],CONV[[#This Row],[1]])</f>
        <v>30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68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3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6" zoomScale="85" zoomScaleNormal="85" workbookViewId="0">
      <selection activeCell="C57" sqref="C57:C59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>
        <f ca="1">MATCH(PAJAK[[#This Row],[ID]],[5]!Table1[ID],0)</f>
        <v>3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22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KEN_0212_089-4</v>
      </c>
      <c r="D3" s="15">
        <f ca="1">MATCH(PAJAK[[#This Row],[ID]],[5]!Table1[ID],0)</f>
        <v>4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KEN_3011_006-4</v>
      </c>
      <c r="D4" s="19">
        <f ca="1">MATCH(PAJAK[[#This Row],[ID]],[5]!Table1[ID],0)</f>
        <v>2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>
        <f ca="1">MATCH(PAJAK[[#This Row],[ID]],[5]!Table1[ID],0)</f>
        <v>65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2">
        <f ca="1">HYPERLINK("[NOTA_.XLSX]NOTA!c"&amp;PAJAK[[#This Row],[//]],IF(PAJAK[[#This Row],[//]]="","",INDEX(INDIRECT("NOTA["&amp;PAJAK[#Headers]&amp;"]"),PAJAK[[#This Row],[//]]-2)))</f>
        <v>11</v>
      </c>
      <c r="C6" s="15" t="str">
        <f ca="1">IF(PAJAK[[#This Row],[//]]="","",INDEX(INDIRECT("NOTA["&amp;PAJAK[#Headers]&amp;"]"),PAJAK[[#This Row],[//]]-2))</f>
        <v>LAU_0612_004-4</v>
      </c>
      <c r="D6" s="15">
        <f ca="1">MATCH(PAJAK[[#This Row],[ID]],[5]!Table1[ID],0)</f>
        <v>78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>
        <f ca="1">MATCH(PAJAK[[#This Row],[ID]],[5]!Table1[ID],0)</f>
        <v>33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>
        <f ca="1">MATCH(PAJAK[[#This Row],[ID]],[5]!Table1[ID],0)</f>
        <v>35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21">
        <f ca="1">HYPERLINK("[NOTA_.XLSX]NOTA!c"&amp;PAJAK[[#This Row],[//]],IF(PAJAK[[#This Row],[//]]="","",INDEX(INDIRECT("NOTA["&amp;PAJAK[#Headers]&amp;"]"),PAJAK[[#This Row],[//]]-2)))</f>
        <v>16</v>
      </c>
      <c r="C9" s="19" t="str">
        <f ca="1">IF(PAJAK[[#This Row],[//]]="","",INDEX(INDIRECT("NOTA["&amp;PAJAK[#Headers]&amp;"]"),PAJAK[[#This Row],[//]]-2))</f>
        <v>ATA_0812_072-1</v>
      </c>
      <c r="D9" s="19">
        <f ca="1">MATCH(PAJAK[[#This Row],[ID]],[5]!Table1[ID],0)</f>
        <v>36</v>
      </c>
      <c r="E9" s="20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17</v>
      </c>
      <c r="C10" s="19" t="str">
        <f ca="1">IF(PAJAK[[#This Row],[//]]="","",INDEX(INDIRECT("NOTA["&amp;PAJAK[#Headers]&amp;"]"),PAJAK[[#This Row],[//]]-2))</f>
        <v>ATA_0612_973-4</v>
      </c>
      <c r="D10" s="19">
        <f ca="1">MATCH(PAJAK[[#This Row],[ID]],[5]!Table1[ID],0)</f>
        <v>34</v>
      </c>
      <c r="E10" s="20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15">
        <f ca="1">HYPERLINK("[NOTA_.XLSX]NOTA!c"&amp;PAJAK[[#This Row],[//]],IF(PAJAK[[#This Row],[//]]="","",INDEX(INDIRECT("NOTA["&amp;PAJAK[#Headers]&amp;"]"),PAJAK[[#This Row],[//]]-2)))</f>
        <v>18</v>
      </c>
      <c r="C11" s="15" t="str">
        <f ca="1">IF(PAJAK[[#This Row],[//]]="","",INDEX(INDIRECT("NOTA["&amp;PAJAK[#Headers]&amp;"]"),PAJAK[[#This Row],[//]]-2))</f>
        <v>KEN_0812_280-2</v>
      </c>
      <c r="D11" s="15">
        <f ca="1">MATCH(PAJAK[[#This Row],[ID]],[5]!Table1[ID],0)</f>
        <v>8</v>
      </c>
      <c r="E11" s="16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15">
        <f ca="1">HYPERLINK("[NOTA_.XLSX]NOTA!c"&amp;PAJAK[[#This Row],[//]],IF(PAJAK[[#This Row],[//]]="","",INDEX(INDIRECT("NOTA["&amp;PAJAK[#Headers]&amp;"]"),PAJAK[[#This Row],[//]]-2)))</f>
        <v>19</v>
      </c>
      <c r="C12" s="15" t="str">
        <f ca="1">IF(PAJAK[[#This Row],[//]]="","",INDEX(INDIRECT("NOTA["&amp;PAJAK[#Headers]&amp;"]"),PAJAK[[#This Row],[//]]-2))</f>
        <v>KEN_0812_364-1</v>
      </c>
      <c r="D12" s="15">
        <f ca="1">MATCH(PAJAK[[#This Row],[ID]],[5]!Table1[ID],0)</f>
        <v>9</v>
      </c>
      <c r="E12" s="16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>
        <f ca="1">MATCH(PAJAK[[#This Row],[ID]],[5]!Table1[ID],0)</f>
        <v>5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15">
        <f ca="1">HYPERLINK("[NOTA_.XLSX]NOTA!c"&amp;PAJAK[[#This Row],[//]],IF(PAJAK[[#This Row],[//]]="","",INDEX(INDIRECT("NOTA["&amp;PAJAK[#Headers]&amp;"]"),PAJAK[[#This Row],[//]]-2)))</f>
        <v>21</v>
      </c>
      <c r="C14" s="15" t="str">
        <f ca="1">IF(PAJAK[[#This Row],[//]]="","",INDEX(INDIRECT("NOTA["&amp;PAJAK[#Headers]&amp;"]"),PAJAK[[#This Row],[//]]-2))</f>
        <v>KEN_0612_125-4</v>
      </c>
      <c r="D14" s="15">
        <f ca="1">MATCH(PAJAK[[#This Row],[ID]],[5]!Table1[ID],0)</f>
        <v>6</v>
      </c>
      <c r="E14" s="16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21">
        <f ca="1">HYPERLINK("[NOTA_.XLSX]NOTA!c"&amp;PAJAK[[#This Row],[//]],IF(PAJAK[[#This Row],[//]]="","",INDEX(INDIRECT("NOTA["&amp;PAJAK[#Headers]&amp;"]"),PAJAK[[#This Row],[//]]-2)))</f>
        <v>22</v>
      </c>
      <c r="C15" s="19" t="str">
        <f ca="1">IF(PAJAK[[#This Row],[//]]="","",INDEX(INDIRECT("NOTA["&amp;PAJAK[#Headers]&amp;"]"),PAJAK[[#This Row],[//]]-2))</f>
        <v>KEN_0612_150-6</v>
      </c>
      <c r="D15" s="19">
        <f ca="1">MATCH(PAJAK[[#This Row],[ID]],[5]!Table1[ID],0)</f>
        <v>7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30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31">
        <f ca="1">HYPERLINK("[NOTA_.XLSX]NOTA!c"&amp;PAJAK[[#This Row],[//]],IF(PAJAK[[#This Row],[//]]="","",INDEX(INDIRECT("NOTA["&amp;PAJAK[#Headers]&amp;"]"),PAJAK[[#This Row],[//]]-2)))</f>
        <v>23</v>
      </c>
      <c r="C16" s="30" t="str">
        <f ca="1">IF(PAJAK[[#This Row],[//]]="","",INDEX(INDIRECT("NOTA["&amp;PAJAK[#Headers]&amp;"]"),PAJAK[[#This Row],[//]]-2))</f>
        <v>RAP_1112_085-1</v>
      </c>
      <c r="D16" s="30">
        <f ca="1">MATCH(PAJAK[[#This Row],[ID]],[5]!Table1[ID],0)</f>
        <v>73</v>
      </c>
      <c r="E16" s="32">
        <f ca="1">IF(PAJAK[[#This Row],[ID]]="","",COUNTIF(NOTA[ID_H],PAJAK[[#This Row],[ID]]))</f>
        <v>1</v>
      </c>
      <c r="F16" s="27" t="str">
        <f ca="1">IF(PAJAK[[#This Row],[//]]="","",INDEX(CONV[2],MATCH(INDEX(INDIRECT("NOTA["&amp;PAJAK[#Headers]&amp;"]"),PAJAK[[#This Row],[//]]-2),CONV[1],0),0))</f>
        <v>PT RAPINAN BROTHER</v>
      </c>
      <c r="G16" s="29">
        <f ca="1">IF(PAJAK[[#This Row],[//]]="","",INDEX(NOTA[TGL_H],PAJAK[[#This Row],[//]]-2))</f>
        <v>45271</v>
      </c>
      <c r="H16" s="29">
        <f ca="1">IF(PAJAK[[#This Row],[//]]="","",INDEX(INDIRECT("NOTA["&amp;PAJAK[#Headers]&amp;"]"),PAJAK[[#This Row],[//]]-2))</f>
        <v>45267</v>
      </c>
      <c r="I16" s="28" t="str">
        <f ca="1">IF(PAJAK[[#This Row],[//]]="","",INDEX(INDIRECT("NOTA["&amp;PAJAK[#Headers]&amp;"]"),PAJAK[[#This Row],[//]]-2))</f>
        <v>HMP/085</v>
      </c>
      <c r="J16" s="27" t="str">
        <f ca="1">IF(OR(PAJAK[[#This Row],[//]]="",INDEX(INDIRECT("NOTA["&amp;PAJAK[#Headers]&amp;"]"),PAJAK[[#This Row],[//]]-2)=""),"",INDEX(INDIRECT("NOTA["&amp;PAJAK[#Headers]&amp;"]"),PAJAK[[#This Row],[//]]-2))</f>
        <v/>
      </c>
      <c r="K16" s="33">
        <f ca="1">IF(PAJAK[[#This Row],[//]]="","",SUMIF(NOTA[ID_H],PAJAK[[#This Row],[ID]],NOTA[JUMLAH]))</f>
        <v>5088000</v>
      </c>
      <c r="L16" s="33">
        <f ca="1">IF(PAJAK[[#This Row],[//]]="","",SUMIF(NOTA[ID_H],PAJAK[[#This Row],[ID]],NOTA[DISC]))</f>
        <v>152640</v>
      </c>
      <c r="M16" s="33">
        <f ca="1">PAJAK[[#This Row],[SUB TOTAL]]-PAJAK[[#This Row],[DISKON]]</f>
        <v>4935360</v>
      </c>
      <c r="N16" s="33">
        <f ca="1">IF(PAJAK[[#This Row],[//]]="","",INDEX(INDIRECT("NOTA["&amp;PAJAK[#Headers]&amp;"]"),PAJAK[[#This Row],[//]]-2+PAJAK[[#This Row],[QB]]-1))</f>
        <v>0</v>
      </c>
      <c r="O16" s="33">
        <f ca="1">(PAJAK[[#This Row],[SUB T-DISC]]-PAJAK[[#This Row],[DISC DLL]])/111%</f>
        <v>4446270.2702702703</v>
      </c>
      <c r="P16" s="33">
        <f ca="1">PAJAK[[#This Row],[DPP]]*PAJAK[[#This Row],[PPN]]</f>
        <v>489089.72972972976</v>
      </c>
      <c r="Q16" s="33">
        <f ca="1">PAJAK[[#This Row],[DPP]]+PAJAK[[#This Row],[PPN 11%]]</f>
        <v>4935360</v>
      </c>
      <c r="R16" s="34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21">
        <f ca="1">HYPERLINK("[NOTA_.XLSX]NOTA!c"&amp;PAJAK[[#This Row],[//]],IF(PAJAK[[#This Row],[//]]="","",INDEX(INDIRECT("NOTA["&amp;PAJAK[#Headers]&amp;"]"),PAJAK[[#This Row],[//]]-2)))</f>
        <v>24</v>
      </c>
      <c r="C17" s="19" t="str">
        <f ca="1">IF(PAJAK[[#This Row],[//]]="","",INDEX(INDIRECT("NOTA["&amp;PAJAK[#Headers]&amp;"]"),PAJAK[[#This Row],[//]]-2))</f>
        <v>KEN_1112_432-5</v>
      </c>
      <c r="D17" s="19">
        <f ca="1">MATCH(PAJAK[[#This Row],[ID]],[5]!Table1[ID],0)</f>
        <v>11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45271</v>
      </c>
      <c r="H17" s="17">
        <f ca="1">IF(PAJAK[[#This Row],[//]]="","",INDEX(INDIRECT("NOTA["&amp;PAJAK[#Headers]&amp;"]"),PAJAK[[#This Row],[//]]-2))</f>
        <v>45268</v>
      </c>
      <c r="I17" s="16" t="str">
        <f ca="1">IF(PAJAK[[#This Row],[//]]="","",INDEX(INDIRECT("NOTA["&amp;PAJAK[#Headers]&amp;"]"),PAJAK[[#This Row],[//]]-2))</f>
        <v>23120432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47376000</v>
      </c>
      <c r="L17" s="23">
        <f ca="1">IF(PAJAK[[#This Row],[//]]="","",SUMIF(NOTA[ID_H],PAJAK[[#This Row],[ID]],NOTA[DISC]))</f>
        <v>8053920</v>
      </c>
      <c r="M17" s="23">
        <f ca="1">PAJAK[[#This Row],[SUB TOTAL]]-PAJAK[[#This Row],[DISKON]]</f>
        <v>39322080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35425297.297297291</v>
      </c>
      <c r="P17" s="23">
        <f ca="1">PAJAK[[#This Row],[DPP]]*PAJAK[[#This Row],[PPN]]</f>
        <v>3896782.702702702</v>
      </c>
      <c r="Q17" s="23">
        <f ca="1">PAJAK[[#This Row],[DPP]]+PAJAK[[#This Row],[PPN 11%]]</f>
        <v>39322079.999999993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15">
        <f ca="1">HYPERLINK("[NOTA_.XLSX]NOTA!c"&amp;PAJAK[[#This Row],[//]],IF(PAJAK[[#This Row],[//]]="","",INDEX(INDIRECT("NOTA["&amp;PAJAK[#Headers]&amp;"]"),PAJAK[[#This Row],[//]]-2)))</f>
        <v>25</v>
      </c>
      <c r="C18" s="15" t="str">
        <f ca="1">IF(PAJAK[[#This Row],[//]]="","",INDEX(INDIRECT("NOTA["&amp;PAJAK[#Headers]&amp;"]"),PAJAK[[#This Row],[//]]-2))</f>
        <v>KEN_1112_451-5</v>
      </c>
      <c r="D18" s="15">
        <f ca="1">MATCH(PAJAK[[#This Row],[ID]],[5]!Table1[ID],0)</f>
        <v>12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21">
        <f ca="1">HYPERLINK("[NOTA_.XLSX]NOTA!c"&amp;PAJAK[[#This Row],[//]],IF(PAJAK[[#This Row],[//]]="","",INDEX(INDIRECT("NOTA["&amp;PAJAK[#Headers]&amp;"]"),PAJAK[[#This Row],[//]]-2)))</f>
        <v>26</v>
      </c>
      <c r="C19" s="19" t="str">
        <f ca="1">IF(PAJAK[[#This Row],[//]]="","",INDEX(INDIRECT("NOTA["&amp;PAJAK[#Headers]&amp;"]"),PAJAK[[#This Row],[//]]-2))</f>
        <v>KEN_1112_431-10</v>
      </c>
      <c r="D19" s="19">
        <f ca="1">MATCH(PAJAK[[#This Row],[ID]],[5]!Table1[ID],0)</f>
        <v>10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21">
        <f ca="1">HYPERLINK("[NOTA_.XLSX]NOTA!c"&amp;PAJAK[[#This Row],[//]],IF(PAJAK[[#This Row],[//]]="","",INDEX(INDIRECT("NOTA["&amp;PAJAK[#Headers]&amp;"]"),PAJAK[[#This Row],[//]]-2)))</f>
        <v>27</v>
      </c>
      <c r="C20" s="19" t="str">
        <f ca="1">IF(PAJAK[[#This Row],[//]]="","",INDEX(INDIRECT("NOTA["&amp;PAJAK[#Headers]&amp;"]"),PAJAK[[#This Row],[//]]-2))</f>
        <v>KEN_1112_587-1</v>
      </c>
      <c r="D20" s="19">
        <f ca="1">MATCH(PAJAK[[#This Row],[ID]],[5]!Table1[ID],0)</f>
        <v>13</v>
      </c>
      <c r="E20" s="20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>
        <f ca="1">MATCH(PAJAK[[#This Row],[ID]],[5]!Table1[ID],0)</f>
        <v>14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>
        <f ca="1">MATCH(PAJAK[[#This Row],[ID]],[5]!Table1[ID],0)</f>
        <v>37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21">
        <f ca="1">HYPERLINK("[NOTA_.XLSX]NOTA!c"&amp;PAJAK[[#This Row],[//]],IF(PAJAK[[#This Row],[//]]="","",INDEX(INDIRECT("NOTA["&amp;PAJAK[#Headers]&amp;"]"),PAJAK[[#This Row],[//]]-2)))</f>
        <v>30</v>
      </c>
      <c r="C23" s="19" t="str">
        <f ca="1">IF(PAJAK[[#This Row],[//]]="","",INDEX(INDIRECT("NOTA["&amp;PAJAK[#Headers]&amp;"]"),PAJAK[[#This Row],[//]]-2))</f>
        <v>ATA_1112_161-3</v>
      </c>
      <c r="D23" s="19">
        <f ca="1">MATCH(PAJAK[[#This Row],[ID]],[5]!Table1[ID],0)</f>
        <v>40</v>
      </c>
      <c r="E23" s="20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ATA_1312_261-9</v>
      </c>
      <c r="D24" s="19">
        <f ca="1">MATCH(PAJAK[[#This Row],[ID]],[5]!Table1[ID],0)</f>
        <v>41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45273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ATA_1312_262-4</v>
      </c>
      <c r="D25" s="19">
        <f ca="1">MATCH(PAJAK[[#This Row],[ID]],[5]!Table1[ID],0)</f>
        <v>42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45273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5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15">
        <f ca="1">HYPERLINK("[NOTA_.XLSX]NOTA!c"&amp;PAJAK[[#This Row],[//]],IF(PAJAK[[#This Row],[//]]="","",INDEX(INDIRECT("NOTA["&amp;PAJAK[#Headers]&amp;"]"),PAJAK[[#This Row],[//]]-2)))</f>
        <v>39</v>
      </c>
      <c r="C26" s="15" t="str">
        <f ca="1">IF(PAJAK[[#This Row],[//]]="","",INDEX(INDIRECT("NOTA["&amp;PAJAK[#Headers]&amp;"]"),PAJAK[[#This Row],[//]]-2))</f>
        <v>ATA_1312_303-11</v>
      </c>
      <c r="D26" s="15">
        <f ca="1">MATCH(PAJAK[[#This Row],[ID]],[5]!Table1[ID],0)</f>
        <v>43</v>
      </c>
      <c r="E26" s="16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45273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7">
        <f ca="1">HYPERLINK("[NOTA_.XLSX]NOTA!c"&amp;PAJAK[[#This Row],[//]],IF(PAJAK[[#This Row],[//]]="","",INDEX(INDIRECT("NOTA["&amp;PAJAK[#Headers]&amp;"]"),PAJAK[[#This Row],[//]]-2)))</f>
        <v>40</v>
      </c>
      <c r="C27" s="27" t="str">
        <f ca="1">IF(PAJAK[[#This Row],[//]]="","",INDEX(INDIRECT("NOTA["&amp;PAJAK[#Headers]&amp;"]"),PAJAK[[#This Row],[//]]-2))</f>
        <v>ATA_1312_377-5</v>
      </c>
      <c r="D27" s="27">
        <f ca="1">MATCH(PAJAK[[#This Row],[ID]],[5]!Table1[ID],0)</f>
        <v>46</v>
      </c>
      <c r="E27" s="28">
        <f ca="1">IF(PAJAK[[#This Row],[ID]]="","",COUNTIF(NOTA[ID_H],PAJAK[[#This Row],[ID]]))</f>
        <v>5</v>
      </c>
      <c r="F27" s="27" t="str">
        <f ca="1">IF(PAJAK[[#This Row],[//]]="","",INDEX(CONV[2],MATCH(INDEX(INDIRECT("NOTA["&amp;PAJAK[#Headers]&amp;"]"),PAJAK[[#This Row],[//]]-2),CONV[1],0),0))</f>
        <v>PT ATALI MAKMUR</v>
      </c>
      <c r="G27" s="29">
        <f ca="1">IF(PAJAK[[#This Row],[//]]="","",INDEX(NOTA[TGL_H],PAJAK[[#This Row],[//]]-2))</f>
        <v>45273</v>
      </c>
      <c r="H27" s="29">
        <f ca="1">IF(PAJAK[[#This Row],[//]]="","",INDEX(INDIRECT("NOTA["&amp;PAJAK[#Headers]&amp;"]"),PAJAK[[#This Row],[//]]-2))</f>
        <v>45268</v>
      </c>
      <c r="I27" s="28" t="str">
        <f ca="1">IF(PAJAK[[#This Row],[//]]="","",INDEX(INDIRECT("NOTA["&amp;PAJAK[#Headers]&amp;"]"),PAJAK[[#This Row],[//]]-2))</f>
        <v>SA231221377</v>
      </c>
      <c r="J27" s="27" t="str">
        <f ca="1">IF(OR(PAJAK[[#This Row],[//]]="",INDEX(INDIRECT("NOTA["&amp;PAJAK[#Headers]&amp;"]"),PAJAK[[#This Row],[//]]-2)=""),"",INDEX(INDIRECT("NOTA["&amp;PAJAK[#Headers]&amp;"]"),PAJAK[[#This Row],[//]]-2))</f>
        <v/>
      </c>
      <c r="K27" s="33">
        <f ca="1">IF(PAJAK[[#This Row],[//]]="","",SUMIF(NOTA[ID_H],PAJAK[[#This Row],[ID]],NOTA[JUMLAH]))</f>
        <v>2664000</v>
      </c>
      <c r="L27" s="33">
        <f ca="1">IF(PAJAK[[#This Row],[//]]="","",SUMIF(NOTA[ID_H],PAJAK[[#This Row],[ID]],NOTA[DISC]))</f>
        <v>449550</v>
      </c>
      <c r="M27" s="33">
        <f ca="1">PAJAK[[#This Row],[SUB TOTAL]]-PAJAK[[#This Row],[DISKON]]</f>
        <v>2214450</v>
      </c>
      <c r="N27" s="33">
        <f ca="1">IF(PAJAK[[#This Row],[//]]="","",INDEX(INDIRECT("NOTA["&amp;PAJAK[#Headers]&amp;"]"),PAJAK[[#This Row],[//]]-2+PAJAK[[#This Row],[QB]]-1))</f>
        <v>0</v>
      </c>
      <c r="O27" s="33">
        <f ca="1">(PAJAK[[#This Row],[SUB T-DISC]]-PAJAK[[#This Row],[DISC DLL]])/111%</f>
        <v>1994999.9999999998</v>
      </c>
      <c r="P27" s="33">
        <f ca="1">PAJAK[[#This Row],[DPP]]*PAJAK[[#This Row],[PPN]]</f>
        <v>219449.99999999997</v>
      </c>
      <c r="Q27" s="33">
        <f ca="1">PAJAK[[#This Row],[DPP]]+PAJAK[[#This Row],[PPN 11%]]</f>
        <v>2214449.9999999995</v>
      </c>
      <c r="R27" s="34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15">
        <f ca="1">HYPERLINK("[NOTA_.XLSX]NOTA!c"&amp;PAJAK[[#This Row],[//]],IF(PAJAK[[#This Row],[//]]="","",INDEX(INDIRECT("NOTA["&amp;PAJAK[#Headers]&amp;"]"),PAJAK[[#This Row],[//]]-2)))</f>
        <v>41</v>
      </c>
      <c r="C28" s="15" t="str">
        <f ca="1">IF(PAJAK[[#This Row],[//]]="","",INDEX(INDIRECT("NOTA["&amp;PAJAK[#Headers]&amp;"]"),PAJAK[[#This Row],[//]]-2))</f>
        <v>ATA_1312_305-7</v>
      </c>
      <c r="D28" s="15">
        <f ca="1">MATCH(PAJAK[[#This Row],[ID]],[5]!Table1[ID],0)</f>
        <v>45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45273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1">
        <f ca="1">HYPERLINK("[NOTA_.XLSX]NOTA!c"&amp;PAJAK[[#This Row],[//]],IF(PAJAK[[#This Row],[//]]="","",INDEX(INDIRECT("NOTA["&amp;PAJAK[#Headers]&amp;"]"),PAJAK[[#This Row],[//]]-2)))</f>
        <v>42</v>
      </c>
      <c r="C29" s="19" t="str">
        <f ca="1">IF(PAJAK[[#This Row],[//]]="","",INDEX(INDIRECT("NOTA["&amp;PAJAK[#Headers]&amp;"]"),PAJAK[[#This Row],[//]]-2))</f>
        <v>ATA_1312_145-4</v>
      </c>
      <c r="D29" s="19">
        <f ca="1">MATCH(PAJAK[[#This Row],[ID]],[5]!Table1[ID],0)</f>
        <v>39</v>
      </c>
      <c r="E29" s="20">
        <f ca="1">IF(PAJAK[[#This Row],[ID]]="","",COUNTIF(NOTA[ID_H],PAJAK[[#This Row],[ID]]))</f>
        <v>4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45273</v>
      </c>
      <c r="H29" s="17">
        <f ca="1">IF(PAJAK[[#This Row],[//]]="","",INDEX(INDIRECT("NOTA["&amp;PAJAK[#Headers]&amp;"]"),PAJAK[[#This Row],[//]]-2))</f>
        <v>45266</v>
      </c>
      <c r="I29" s="16" t="str">
        <f ca="1">IF(PAJAK[[#This Row],[//]]="","",INDEX(INDIRECT("NOTA["&amp;PAJAK[#Headers]&amp;"]"),PAJAK[[#This Row],[//]]-2))</f>
        <v>SA231221145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25848000</v>
      </c>
      <c r="L29" s="23">
        <f ca="1">IF(PAJAK[[#This Row],[//]]="","",SUMIF(NOTA[ID_H],PAJAK[[#This Row],[ID]],NOTA[DISC]))</f>
        <v>5478840</v>
      </c>
      <c r="M29" s="23">
        <f ca="1">PAJAK[[#This Row],[SUB TOTAL]]-PAJAK[[#This Row],[DISKON]]</f>
        <v>20369160</v>
      </c>
      <c r="N29" s="23">
        <f ca="1">IF(PAJAK[[#This Row],[//]]="","",INDEX(INDIRECT("NOTA["&amp;PAJAK[#Headers]&amp;"]"),PAJAK[[#This Row],[//]]-2+PAJAK[[#This Row],[QB]]-1))</f>
        <v>263340</v>
      </c>
      <c r="O29" s="23">
        <f ca="1">(PAJAK[[#This Row],[SUB T-DISC]]-PAJAK[[#This Row],[DISC DLL]])/111%</f>
        <v>18113351.351351351</v>
      </c>
      <c r="P29" s="23">
        <f ca="1">PAJAK[[#This Row],[DPP]]*PAJAK[[#This Row],[PPN]]</f>
        <v>1992468.6486486485</v>
      </c>
      <c r="Q29" s="23">
        <f ca="1">PAJAK[[#This Row],[DPP]]+PAJAK[[#This Row],[PPN 11%]]</f>
        <v>20105820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15">
        <f ca="1">HYPERLINK("[NOTA_.XLSX]NOTA!c"&amp;PAJAK[[#This Row],[//]],IF(PAJAK[[#This Row],[//]]="","",INDEX(INDIRECT("NOTA["&amp;PAJAK[#Headers]&amp;"]"),PAJAK[[#This Row],[//]]-2)))</f>
        <v>43</v>
      </c>
      <c r="C30" s="15" t="str">
        <f ca="1">IF(PAJAK[[#This Row],[//]]="","",INDEX(INDIRECT("NOTA["&amp;PAJAK[#Headers]&amp;"]"),PAJAK[[#This Row],[//]]-2))</f>
        <v>ATA_1312_125-6</v>
      </c>
      <c r="D30" s="15">
        <f ca="1">MATCH(PAJAK[[#This Row],[ID]],[5]!Table1[ID],0)</f>
        <v>38</v>
      </c>
      <c r="E30" s="16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45273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1">
        <f ca="1">HYPERLINK("[NOTA_.XLSX]NOTA!c"&amp;PAJAK[[#This Row],[//]],IF(PAJAK[[#This Row],[//]]="","",INDEX(INDIRECT("NOTA["&amp;PAJAK[#Headers]&amp;"]"),PAJAK[[#This Row],[//]]-2)))</f>
        <v>44</v>
      </c>
      <c r="C31" s="19" t="str">
        <f ca="1">IF(PAJAK[[#This Row],[//]]="","",INDEX(INDIRECT("NOTA["&amp;PAJAK[#Headers]&amp;"]"),PAJAK[[#This Row],[//]]-2))</f>
        <v>SAM_1312_422-2</v>
      </c>
      <c r="D31" s="19">
        <f ca="1">MATCH(PAJAK[[#This Row],[ID]],[5]!Table1[ID],0)</f>
        <v>66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45273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21">
        <f ca="1">HYPERLINK("[NOTA_.XLSX]NOTA!c"&amp;PAJAK[[#This Row],[//]],IF(PAJAK[[#This Row],[//]]="","",INDEX(INDIRECT("NOTA["&amp;PAJAK[#Headers]&amp;"]"),PAJAK[[#This Row],[//]]-2)))</f>
        <v>45</v>
      </c>
      <c r="C32" s="19" t="str">
        <f ca="1">IF(PAJAK[[#This Row],[//]]="","",INDEX(INDIRECT("NOTA["&amp;PAJAK[#Headers]&amp;"]"),PAJAK[[#This Row],[//]]-2))</f>
        <v>SAM_1312_452-1</v>
      </c>
      <c r="D32" s="19">
        <f ca="1">MATCH(PAJAK[[#This Row],[ID]],[5]!Table1[ID],0)</f>
        <v>67</v>
      </c>
      <c r="E32" s="20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45273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5250000</v>
      </c>
      <c r="L32" s="23">
        <f ca="1">IF(PAJAK[[#This Row],[//]]="","",SUMIF(NOTA[ID_H],PAJAK[[#This Row],[ID]],NOTA[DISC]))</f>
        <v>367500.00000000006</v>
      </c>
      <c r="M32" s="23">
        <f ca="1">PAJAK[[#This Row],[SUB TOTAL]]-PAJAK[[#This Row],[DISKON]]</f>
        <v>4882500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4398648.6486486485</v>
      </c>
      <c r="P32" s="23">
        <f ca="1">PAJAK[[#This Row],[DPP]]*PAJAK[[#This Row],[PPN]]</f>
        <v>483851.35135135136</v>
      </c>
      <c r="Q32" s="23">
        <f ca="1">PAJAK[[#This Row],[DPP]]+PAJAK[[#This Row],[PPN 11%]]</f>
        <v>4882500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21">
        <f ca="1">HYPERLINK("[NOTA_.XLSX]NOTA!c"&amp;PAJAK[[#This Row],[//]],IF(PAJAK[[#This Row],[//]]="","",INDEX(INDIRECT("NOTA["&amp;PAJAK[#Headers]&amp;"]"),PAJAK[[#This Row],[//]]-2)))</f>
        <v>46</v>
      </c>
      <c r="C33" s="19" t="str">
        <f ca="1">IF(PAJAK[[#This Row],[//]]="","",INDEX(INDIRECT("NOTA["&amp;PAJAK[#Headers]&amp;"]"),PAJAK[[#This Row],[//]]-2))</f>
        <v>KUN_1312_803-1</v>
      </c>
      <c r="D33" s="19">
        <f ca="1">MATCH(PAJAK[[#This Row],[ID]],[5]!Table1[ID],0)</f>
        <v>70</v>
      </c>
      <c r="E33" s="20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15">
        <f ca="1">HYPERLINK("[NOTA_.XLSX]NOTA!c"&amp;PAJAK[[#This Row],[//]],IF(PAJAK[[#This Row],[//]]="","",INDEX(INDIRECT("NOTA["&amp;PAJAK[#Headers]&amp;"]"),PAJAK[[#This Row],[//]]-2)))</f>
        <v>47</v>
      </c>
      <c r="C34" s="15" t="str">
        <f ca="1">IF(PAJAK[[#This Row],[//]]="","",INDEX(INDIRECT("NOTA["&amp;PAJAK[#Headers]&amp;"]"),PAJAK[[#This Row],[//]]-2))</f>
        <v>LAY_0212_004-1</v>
      </c>
      <c r="D34" s="15">
        <f ca="1">MATCH(PAJAK[[#This Row],[ID]],[5]!Table1[ID],0)</f>
        <v>76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263</v>
      </c>
      <c r="B35" s="21">
        <f ca="1">HYPERLINK("[NOTA_.XLSX]NOTA!c"&amp;PAJAK[[#This Row],[//]],IF(PAJAK[[#This Row],[//]]="","",INDEX(INDIRECT("NOTA["&amp;PAJAK[#Headers]&amp;"]"),PAJAK[[#This Row],[//]]-2)))</f>
        <v>61</v>
      </c>
      <c r="C35" s="19" t="str">
        <f ca="1">IF(PAJAK[[#This Row],[//]]="","",INDEX(INDIRECT("NOTA["&amp;PAJAK[#Headers]&amp;"]"),PAJAK[[#This Row],[//]]-2))</f>
        <v>ATA_1812_809-1</v>
      </c>
      <c r="D35" s="19">
        <f ca="1">MATCH(PAJAK[[#This Row],[ID]],[5]!Table1[ID],0)</f>
        <v>58</v>
      </c>
      <c r="E35" s="20">
        <f ca="1">IF(PAJAK[[#This Row],[ID]]="","",COUNTIF(NOTA[ID_H],PAJAK[[#This Row],[ID]]))</f>
        <v>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45278</v>
      </c>
      <c r="H35" s="17">
        <f ca="1">IF(PAJAK[[#This Row],[//]]="","",INDEX(INDIRECT("NOTA["&amp;PAJAK[#Headers]&amp;"]"),PAJAK[[#This Row],[//]]-2))</f>
        <v>45274</v>
      </c>
      <c r="I35" s="16" t="str">
        <f ca="1">IF(PAJAK[[#This Row],[//]]="","",INDEX(INDIRECT("NOTA["&amp;PAJAK[#Headers]&amp;"]"),PAJAK[[#This Row],[//]]-2))</f>
        <v>SA231221809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1550000</v>
      </c>
      <c r="L35" s="23">
        <f ca="1">IF(PAJAK[[#This Row],[//]]="","",SUMIF(NOTA[ID_H],PAJAK[[#This Row],[ID]],NOTA[DISC]))</f>
        <v>261562.5</v>
      </c>
      <c r="M35" s="23">
        <f ca="1">PAJAK[[#This Row],[SUB TOTAL]]-PAJAK[[#This Row],[DISKON]]</f>
        <v>1288437.5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1160754.5045045044</v>
      </c>
      <c r="P35" s="23">
        <f ca="1">PAJAK[[#This Row],[DPP]]*PAJAK[[#This Row],[PPN]]</f>
        <v>127682.99549549549</v>
      </c>
      <c r="Q35" s="23">
        <f ca="1">PAJAK[[#This Row],[DPP]]+PAJAK[[#This Row],[PPN 11%]]</f>
        <v>1288437.4999999998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265</v>
      </c>
      <c r="B36" s="15">
        <f ca="1">HYPERLINK("[NOTA_.XLSX]NOTA!c"&amp;PAJAK[[#This Row],[//]],IF(PAJAK[[#This Row],[//]]="","",INDEX(INDIRECT("NOTA["&amp;PAJAK[#Headers]&amp;"]"),PAJAK[[#This Row],[//]]-2)))</f>
        <v>62</v>
      </c>
      <c r="C36" s="15" t="str">
        <f ca="1">IF(PAJAK[[#This Row],[//]]="","",INDEX(INDIRECT("NOTA["&amp;PAJAK[#Headers]&amp;"]"),PAJAK[[#This Row],[//]]-2))</f>
        <v>ATA_1512_640-6</v>
      </c>
      <c r="D36" s="15">
        <f ca="1">MATCH(PAJAK[[#This Row],[ID]],[5]!Table1[ID],0)</f>
        <v>52</v>
      </c>
      <c r="E36" s="16">
        <f ca="1">IF(PAJAK[[#This Row],[ID]]="","",COUNTIF(NOTA[ID_H],PAJAK[[#This Row],[ID]]))</f>
        <v>6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45275</v>
      </c>
      <c r="H36" s="17">
        <f ca="1">IF(PAJAK[[#This Row],[//]]="","",INDEX(INDIRECT("NOTA["&amp;PAJAK[#Headers]&amp;"]"),PAJAK[[#This Row],[//]]-2))</f>
        <v>45271</v>
      </c>
      <c r="I36" s="16" t="str">
        <f ca="1">IF(PAJAK[[#This Row],[//]]="","",INDEX(INDIRECT("NOTA["&amp;PAJAK[#Headers]&amp;"]"),PAJAK[[#This Row],[//]]-2))</f>
        <v>SA231221640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12146400</v>
      </c>
      <c r="L36" s="23">
        <f ca="1">IF(PAJAK[[#This Row],[//]]="","",SUMIF(NOTA[ID_H],PAJAK[[#This Row],[ID]],NOTA[DISC]))</f>
        <v>2567250</v>
      </c>
      <c r="M36" s="23">
        <f ca="1">PAJAK[[#This Row],[SUB TOTAL]]-PAJAK[[#This Row],[DISKON]]</f>
        <v>9579150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8629864.8648648635</v>
      </c>
      <c r="P36" s="23">
        <f ca="1">PAJAK[[#This Row],[DPP]]*PAJAK[[#This Row],[PPN]]</f>
        <v>949285.13513513503</v>
      </c>
      <c r="Q36" s="23">
        <f ca="1">PAJAK[[#This Row],[DPP]]+PAJAK[[#This Row],[PPN 11%]]</f>
        <v>9579149.9999999981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272</v>
      </c>
      <c r="B37" s="15">
        <f ca="1">HYPERLINK("[NOTA_.XLSX]NOTA!c"&amp;PAJAK[[#This Row],[//]],IF(PAJAK[[#This Row],[//]]="","",INDEX(INDIRECT("NOTA["&amp;PAJAK[#Headers]&amp;"]"),PAJAK[[#This Row],[//]]-2)))</f>
        <v>63</v>
      </c>
      <c r="C37" s="15" t="str">
        <f ca="1">IF(PAJAK[[#This Row],[//]]="","",INDEX(INDIRECT("NOTA["&amp;PAJAK[#Headers]&amp;"]"),PAJAK[[#This Row],[//]]-2))</f>
        <v>ATA_1512_567-7</v>
      </c>
      <c r="D37" s="15">
        <f ca="1">MATCH(PAJAK[[#This Row],[ID]],[5]!Table1[ID],0)</f>
        <v>50</v>
      </c>
      <c r="E37" s="16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45275</v>
      </c>
      <c r="H37" s="17">
        <f ca="1">IF(PAJAK[[#This Row],[//]]="","",INDEX(INDIRECT("NOTA["&amp;PAJAK[#Headers]&amp;"]"),PAJAK[[#This Row],[//]]-2))</f>
        <v>45271</v>
      </c>
      <c r="I37" s="16" t="str">
        <f ca="1">IF(PAJAK[[#This Row],[//]]="","",INDEX(INDIRECT("NOTA["&amp;PAJAK[#Headers]&amp;"]"),PAJAK[[#This Row],[//]]-2))</f>
        <v>SA231221567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4368400</v>
      </c>
      <c r="L37" s="23">
        <f ca="1">IF(PAJAK[[#This Row],[//]]="","",SUMIF(NOTA[ID_H],PAJAK[[#This Row],[ID]],NOTA[DISC]))</f>
        <v>737167.5</v>
      </c>
      <c r="M37" s="23">
        <f ca="1">PAJAK[[#This Row],[SUB TOTAL]]-PAJAK[[#This Row],[DISKON]]</f>
        <v>3631232.5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3271380.6306306305</v>
      </c>
      <c r="P37" s="23">
        <f ca="1">PAJAK[[#This Row],[DPP]]*PAJAK[[#This Row],[PPN]]</f>
        <v>359851.86936936935</v>
      </c>
      <c r="Q37" s="23">
        <f ca="1">PAJAK[[#This Row],[DPP]]+PAJAK[[#This Row],[PPN 11%]]</f>
        <v>3631232.5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280</v>
      </c>
      <c r="B38" s="21">
        <f ca="1">HYPERLINK("[NOTA_.XLSX]NOTA!c"&amp;PAJAK[[#This Row],[//]],IF(PAJAK[[#This Row],[//]]="","",INDEX(INDIRECT("NOTA["&amp;PAJAK[#Headers]&amp;"]"),PAJAK[[#This Row],[//]]-2)))</f>
        <v>64</v>
      </c>
      <c r="C38" s="19" t="str">
        <f ca="1">IF(PAJAK[[#This Row],[//]]="","",INDEX(INDIRECT("NOTA["&amp;PAJAK[#Headers]&amp;"]"),PAJAK[[#This Row],[//]]-2))</f>
        <v>ATA_1512_566-11</v>
      </c>
      <c r="D38" s="19">
        <f ca="1">MATCH(PAJAK[[#This Row],[ID]],[5]!Table1[ID],0)</f>
        <v>49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45275</v>
      </c>
      <c r="H38" s="17">
        <f ca="1">IF(PAJAK[[#This Row],[//]]="","",INDEX(INDIRECT("NOTA["&amp;PAJAK[#Headers]&amp;"]"),PAJAK[[#This Row],[//]]-2))</f>
        <v>45271</v>
      </c>
      <c r="I38" s="16" t="str">
        <f ca="1">IF(PAJAK[[#This Row],[//]]="","",INDEX(INDIRECT("NOTA["&amp;PAJAK[#Headers]&amp;"]"),PAJAK[[#This Row],[//]]-2))</f>
        <v>SA231221566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37636800</v>
      </c>
      <c r="L38" s="23">
        <f ca="1">IF(PAJAK[[#This Row],[//]]="","",SUMIF(NOTA[ID_H],PAJAK[[#This Row],[ID]],NOTA[DISC]))</f>
        <v>6351210</v>
      </c>
      <c r="M38" s="23">
        <f ca="1">PAJAK[[#This Row],[SUB TOTAL]]-PAJAK[[#This Row],[DISKON]]</f>
        <v>31285590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28185216.216216214</v>
      </c>
      <c r="P38" s="23">
        <f ca="1">PAJAK[[#This Row],[DPP]]*PAJAK[[#This Row],[PPN]]</f>
        <v>3100373.7837837837</v>
      </c>
      <c r="Q38" s="23">
        <f ca="1">PAJAK[[#This Row],[DPP]]+PAJAK[[#This Row],[PPN 11%]]</f>
        <v>31285589.999999996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292</v>
      </c>
      <c r="B39" s="22">
        <f ca="1">HYPERLINK("[NOTA_.XLSX]NOTA!c"&amp;PAJAK[[#This Row],[//]],IF(PAJAK[[#This Row],[//]]="","",INDEX(INDIRECT("NOTA["&amp;PAJAK[#Headers]&amp;"]"),PAJAK[[#This Row],[//]]-2)))</f>
        <v>65</v>
      </c>
      <c r="C39" s="15" t="str">
        <f ca="1">IF(PAJAK[[#This Row],[//]]="","",INDEX(INDIRECT("NOTA["&amp;PAJAK[#Headers]&amp;"]"),PAJAK[[#This Row],[//]]-2))</f>
        <v>ATA_1512_565-11</v>
      </c>
      <c r="D39" s="15">
        <f ca="1">MATCH(PAJAK[[#This Row],[ID]],[5]!Table1[ID],0)</f>
        <v>48</v>
      </c>
      <c r="E39" s="16">
        <f ca="1">IF(PAJAK[[#This Row],[ID]]="","",COUNTIF(NOTA[ID_H],PAJAK[[#This Row],[ID]]))</f>
        <v>11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45275</v>
      </c>
      <c r="H39" s="17">
        <f ca="1">IF(PAJAK[[#This Row],[//]]="","",INDEX(INDIRECT("NOTA["&amp;PAJAK[#Headers]&amp;"]"),PAJAK[[#This Row],[//]]-2))</f>
        <v>45271</v>
      </c>
      <c r="I39" s="16" t="str">
        <f ca="1">IF(PAJAK[[#This Row],[//]]="","",INDEX(INDIRECT("NOTA["&amp;PAJAK[#Headers]&amp;"]"),PAJAK[[#This Row],[//]]-2))</f>
        <v>SA231221565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69146460</v>
      </c>
      <c r="L39" s="23">
        <f ca="1">IF(PAJAK[[#This Row],[//]]="","",SUMIF(NOTA[ID_H],PAJAK[[#This Row],[ID]],NOTA[DISC]))</f>
        <v>13390297.125</v>
      </c>
      <c r="M39" s="23">
        <f ca="1">PAJAK[[#This Row],[SUB TOTAL]]-PAJAK[[#This Row],[DISKON]]</f>
        <v>55756162.875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50230777.364864863</v>
      </c>
      <c r="P39" s="23">
        <f ca="1">PAJAK[[#This Row],[DPP]]*PAJAK[[#This Row],[PPN]]</f>
        <v>5525385.5101351347</v>
      </c>
      <c r="Q39" s="23">
        <f ca="1">PAJAK[[#This Row],[DPP]]+PAJAK[[#This Row],[PPN 11%]]</f>
        <v>55756162.875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304</v>
      </c>
      <c r="B40" s="21">
        <f ca="1">HYPERLINK("[NOTA_.XLSX]NOTA!c"&amp;PAJAK[[#This Row],[//]],IF(PAJAK[[#This Row],[//]]="","",INDEX(INDIRECT("NOTA["&amp;PAJAK[#Headers]&amp;"]"),PAJAK[[#This Row],[//]]-2)))</f>
        <v>66</v>
      </c>
      <c r="C40" s="19" t="str">
        <f ca="1">IF(PAJAK[[#This Row],[//]]="","",INDEX(INDIRECT("NOTA["&amp;PAJAK[#Headers]&amp;"]"),PAJAK[[#This Row],[//]]-2))</f>
        <v>ATA_1312_304-9</v>
      </c>
      <c r="D40" s="19">
        <f ca="1">MATCH(PAJAK[[#This Row],[ID]],[5]!Table1[ID],0)</f>
        <v>44</v>
      </c>
      <c r="E40" s="20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45273</v>
      </c>
      <c r="H40" s="17">
        <f ca="1">IF(PAJAK[[#This Row],[//]]="","",INDEX(INDIRECT("NOTA["&amp;PAJAK[#Headers]&amp;"]"),PAJAK[[#This Row],[//]]-2))</f>
        <v>45268</v>
      </c>
      <c r="I40" s="16" t="str">
        <f ca="1">IF(PAJAK[[#This Row],[//]]="","",INDEX(INDIRECT("NOTA["&amp;PAJAK[#Headers]&amp;"]"),PAJAK[[#This Row],[//]]-2))</f>
        <v>SA231221304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15966000</v>
      </c>
      <c r="L40" s="23">
        <f ca="1">IF(PAJAK[[#This Row],[//]]="","",SUMIF(NOTA[ID_H],PAJAK[[#This Row],[ID]],NOTA[DISC]))</f>
        <v>2996662.5</v>
      </c>
      <c r="M40" s="23">
        <f ca="1">PAJAK[[#This Row],[SUB TOTAL]]-PAJAK[[#This Row],[DISKON]]</f>
        <v>12969337.5</v>
      </c>
      <c r="N40" s="23">
        <f ca="1">IF(PAJAK[[#This Row],[//]]="","",INDEX(INDIRECT("NOTA["&amp;PAJAK[#Headers]&amp;"]"),PAJAK[[#This Row],[//]]-2+PAJAK[[#This Row],[QB]]-1))</f>
        <v>403987.5</v>
      </c>
      <c r="O40" s="23">
        <f ca="1">(PAJAK[[#This Row],[SUB T-DISC]]-PAJAK[[#This Row],[DISC DLL]])/111%</f>
        <v>11320135.135135135</v>
      </c>
      <c r="P40" s="23">
        <f ca="1">PAJAK[[#This Row],[DPP]]*PAJAK[[#This Row],[PPN]]</f>
        <v>1245214.8648648649</v>
      </c>
      <c r="Q40" s="23">
        <f ca="1">PAJAK[[#This Row],[DPP]]+PAJAK[[#This Row],[PPN 11%]]</f>
        <v>12565350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314</v>
      </c>
      <c r="B41" s="21">
        <f ca="1">HYPERLINK("[NOTA_.XLSX]NOTA!c"&amp;PAJAK[[#This Row],[//]],IF(PAJAK[[#This Row],[//]]="","",INDEX(INDIRECT("NOTA["&amp;PAJAK[#Headers]&amp;"]"),PAJAK[[#This Row],[//]]-2)))</f>
        <v>67</v>
      </c>
      <c r="C41" s="19" t="str">
        <f ca="1">IF(PAJAK[[#This Row],[//]]="","",INDEX(INDIRECT("NOTA["&amp;PAJAK[#Headers]&amp;"]"),PAJAK[[#This Row],[//]]-2))</f>
        <v>ATA_1512_478-5</v>
      </c>
      <c r="D41" s="19">
        <f ca="1">MATCH(PAJAK[[#This Row],[ID]],[5]!Table1[ID],0)</f>
        <v>47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45275</v>
      </c>
      <c r="H41" s="17">
        <f ca="1">IF(PAJAK[[#This Row],[//]]="","",INDEX(INDIRECT("NOTA["&amp;PAJAK[#Headers]&amp;"]"),PAJAK[[#This Row],[//]]-2))</f>
        <v>45269</v>
      </c>
      <c r="I41" s="16" t="str">
        <f ca="1">IF(PAJAK[[#This Row],[//]]="","",INDEX(INDIRECT("NOTA["&amp;PAJAK[#Headers]&amp;"]"),PAJAK[[#This Row],[//]]-2))</f>
        <v>SA231221478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57306000</v>
      </c>
      <c r="L41" s="23">
        <f ca="1">IF(PAJAK[[#This Row],[//]]="","",SUMIF(NOTA[ID_H],PAJAK[[#This Row],[ID]],NOTA[DISC]))</f>
        <v>12093000</v>
      </c>
      <c r="M41" s="23">
        <f ca="1">PAJAK[[#This Row],[SUB TOTAL]]-PAJAK[[#This Row],[DISKON]]</f>
        <v>45213000</v>
      </c>
      <c r="N41" s="23">
        <f ca="1">IF(PAJAK[[#This Row],[//]]="","",INDEX(INDIRECT("NOTA["&amp;PAJAK[#Headers]&amp;"]"),PAJAK[[#This Row],[//]]-2+PAJAK[[#This Row],[QB]]-1))</f>
        <v>1605975</v>
      </c>
      <c r="O41" s="23">
        <f ca="1">(PAJAK[[#This Row],[SUB T-DISC]]-PAJAK[[#This Row],[DISC DLL]])/111%</f>
        <v>39285608.108108103</v>
      </c>
      <c r="P41" s="23">
        <f ca="1">PAJAK[[#This Row],[DPP]]*PAJAK[[#This Row],[PPN]]</f>
        <v>4321416.8918918911</v>
      </c>
      <c r="Q41" s="23">
        <f ca="1">PAJAK[[#This Row],[DPP]]+PAJAK[[#This Row],[PPN 11%]]</f>
        <v>43607024.999999993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320</v>
      </c>
      <c r="B42" s="21">
        <f ca="1">HYPERLINK("[NOTA_.XLSX]NOTA!c"&amp;PAJAK[[#This Row],[//]],IF(PAJAK[[#This Row],[//]]="","",INDEX(INDIRECT("NOTA["&amp;PAJAK[#Headers]&amp;"]"),PAJAK[[#This Row],[//]]-2)))</f>
        <v>68</v>
      </c>
      <c r="C42" s="19" t="str">
        <f ca="1">IF(PAJAK[[#This Row],[//]]="","",INDEX(INDIRECT("NOTA["&amp;PAJAK[#Headers]&amp;"]"),PAJAK[[#This Row],[//]]-2))</f>
        <v>ATA_1512_669-4</v>
      </c>
      <c r="D42" s="19">
        <f ca="1">MATCH(PAJAK[[#This Row],[ID]],[5]!Table1[ID],0)</f>
        <v>54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45275</v>
      </c>
      <c r="H42" s="17">
        <f ca="1">IF(PAJAK[[#This Row],[//]]="","",INDEX(INDIRECT("NOTA["&amp;PAJAK[#Headers]&amp;"]"),PAJAK[[#This Row],[//]]-2))</f>
        <v>45272</v>
      </c>
      <c r="I42" s="16" t="str">
        <f ca="1">IF(PAJAK[[#This Row],[//]]="","",INDEX(INDIRECT("NOTA["&amp;PAJAK[#Headers]&amp;"]"),PAJAK[[#This Row],[//]]-2))</f>
        <v>SA231221669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16598400</v>
      </c>
      <c r="L42" s="23">
        <f ca="1">IF(PAJAK[[#This Row],[//]]="","",SUMIF(NOTA[ID_H],PAJAK[[#This Row],[ID]],NOTA[DISC]))</f>
        <v>2800980</v>
      </c>
      <c r="M42" s="23">
        <f ca="1">PAJAK[[#This Row],[SUB TOTAL]]-PAJAK[[#This Row],[DISKON]]</f>
        <v>13797420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12430108.108108107</v>
      </c>
      <c r="P42" s="23">
        <f ca="1">PAJAK[[#This Row],[DPP]]*PAJAK[[#This Row],[PPN]]</f>
        <v>1367311.8918918918</v>
      </c>
      <c r="Q42" s="23">
        <f ca="1">PAJAK[[#This Row],[DPP]]+PAJAK[[#This Row],[PPN 11%]]</f>
        <v>13797419.999999998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325</v>
      </c>
      <c r="B43" s="15">
        <f ca="1">HYPERLINK("[NOTA_.XLSX]NOTA!c"&amp;PAJAK[[#This Row],[//]],IF(PAJAK[[#This Row],[//]]="","",INDEX(INDIRECT("NOTA["&amp;PAJAK[#Headers]&amp;"]"),PAJAK[[#This Row],[//]]-2)))</f>
        <v>69</v>
      </c>
      <c r="C43" s="15" t="str">
        <f ca="1">IF(PAJAK[[#This Row],[//]]="","",INDEX(INDIRECT("NOTA["&amp;PAJAK[#Headers]&amp;"]"),PAJAK[[#This Row],[//]]-2))</f>
        <v>ATA_1512_568-7</v>
      </c>
      <c r="D43" s="15">
        <f ca="1">MATCH(PAJAK[[#This Row],[ID]],[5]!Table1[ID],0)</f>
        <v>51</v>
      </c>
      <c r="E43" s="16">
        <f ca="1">IF(PAJAK[[#This Row],[ID]]="","",COUNTIF(NOTA[ID_H],PAJAK[[#This Row],[ID]]))</f>
        <v>7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45275</v>
      </c>
      <c r="H43" s="17">
        <f ca="1">IF(PAJAK[[#This Row],[//]]="","",INDEX(INDIRECT("NOTA["&amp;PAJAK[#Headers]&amp;"]"),PAJAK[[#This Row],[//]]-2))</f>
        <v>45271</v>
      </c>
      <c r="I43" s="16" t="str">
        <f ca="1">IF(PAJAK[[#This Row],[//]]="","",INDEX(INDIRECT("NOTA["&amp;PAJAK[#Headers]&amp;"]"),PAJAK[[#This Row],[//]]-2))</f>
        <v>SA231221568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21520800</v>
      </c>
      <c r="L43" s="23">
        <f ca="1">IF(PAJAK[[#This Row],[//]]="","",SUMIF(NOTA[ID_H],PAJAK[[#This Row],[ID]],NOTA[DISC]))</f>
        <v>4539675</v>
      </c>
      <c r="M43" s="23">
        <f ca="1">PAJAK[[#This Row],[SUB TOTAL]]-PAJAK[[#This Row],[DISKON]]</f>
        <v>16981125</v>
      </c>
      <c r="N43" s="23">
        <f ca="1">IF(PAJAK[[#This Row],[//]]="","",INDEX(INDIRECT("NOTA["&amp;PAJAK[#Headers]&amp;"]"),PAJAK[[#This Row],[//]]-2+PAJAK[[#This Row],[QB]]-1))</f>
        <v>636405</v>
      </c>
      <c r="O43" s="23">
        <f ca="1">(PAJAK[[#This Row],[SUB T-DISC]]-PAJAK[[#This Row],[DISC DLL]])/111%</f>
        <v>14724972.972972972</v>
      </c>
      <c r="P43" s="23">
        <f ca="1">PAJAK[[#This Row],[DPP]]*PAJAK[[#This Row],[PPN]]</f>
        <v>1619747.027027027</v>
      </c>
      <c r="Q43" s="23">
        <f ca="1">PAJAK[[#This Row],[DPP]]+PAJAK[[#This Row],[PPN 11%]]</f>
        <v>16344720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333</v>
      </c>
      <c r="B44" s="21">
        <f ca="1">HYPERLINK("[NOTA_.XLSX]NOTA!c"&amp;PAJAK[[#This Row],[//]],IF(PAJAK[[#This Row],[//]]="","",INDEX(INDIRECT("NOTA["&amp;PAJAK[#Headers]&amp;"]"),PAJAK[[#This Row],[//]]-2)))</f>
        <v>70</v>
      </c>
      <c r="C44" s="19" t="str">
        <f ca="1">IF(PAJAK[[#This Row],[//]]="","",INDEX(INDIRECT("NOTA["&amp;PAJAK[#Headers]&amp;"]"),PAJAK[[#This Row],[//]]-2))</f>
        <v>ATA_1512_641-6</v>
      </c>
      <c r="D44" s="19">
        <f ca="1">MATCH(PAJAK[[#This Row],[ID]],[5]!Table1[ID],0)</f>
        <v>53</v>
      </c>
      <c r="E44" s="20">
        <f ca="1">IF(PAJAK[[#This Row],[ID]]="","",COUNTIF(NOTA[ID_H],PAJAK[[#This Row],[ID]]))</f>
        <v>6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45275</v>
      </c>
      <c r="H44" s="17">
        <f ca="1">IF(PAJAK[[#This Row],[//]]="","",INDEX(INDIRECT("NOTA["&amp;PAJAK[#Headers]&amp;"]"),PAJAK[[#This Row],[//]]-2))</f>
        <v>45271</v>
      </c>
      <c r="I44" s="16" t="str">
        <f ca="1">IF(PAJAK[[#This Row],[//]]="","",INDEX(INDIRECT("NOTA["&amp;PAJAK[#Headers]&amp;"]"),PAJAK[[#This Row],[//]]-2))</f>
        <v>SA231221641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33031200</v>
      </c>
      <c r="L44" s="23">
        <f ca="1">IF(PAJAK[[#This Row],[//]]="","",SUMIF(NOTA[ID_H],PAJAK[[#This Row],[ID]],NOTA[DISC]))</f>
        <v>6978075</v>
      </c>
      <c r="M44" s="23">
        <f ca="1">PAJAK[[#This Row],[SUB TOTAL]]-PAJAK[[#This Row],[DISKON]]</f>
        <v>26053125</v>
      </c>
      <c r="N44" s="23">
        <f ca="1">IF(PAJAK[[#This Row],[//]]="","",INDEX(INDIRECT("NOTA["&amp;PAJAK[#Headers]&amp;"]"),PAJAK[[#This Row],[//]]-2+PAJAK[[#This Row],[QB]]-1))</f>
        <v>780045</v>
      </c>
      <c r="O44" s="23">
        <f ca="1">(PAJAK[[#This Row],[SUB T-DISC]]-PAJAK[[#This Row],[DISC DLL]])/111%</f>
        <v>22768540.540540539</v>
      </c>
      <c r="P44" s="23">
        <f ca="1">PAJAK[[#This Row],[DPP]]*PAJAK[[#This Row],[PPN]]</f>
        <v>2504539.4594594594</v>
      </c>
      <c r="Q44" s="23">
        <f ca="1">PAJAK[[#This Row],[DPP]]+PAJAK[[#This Row],[PPN 11%]]</f>
        <v>25273080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351</v>
      </c>
      <c r="B45" s="21">
        <f ca="1">HYPERLINK("[NOTA_.XLSX]NOTA!c"&amp;PAJAK[[#This Row],[//]],IF(PAJAK[[#This Row],[//]]="","",INDEX(INDIRECT("NOTA["&amp;PAJAK[#Headers]&amp;"]"),PAJAK[[#This Row],[//]]-2)))</f>
        <v>73</v>
      </c>
      <c r="C45" s="19" t="str">
        <f ca="1">IF(PAJAK[[#This Row],[//]]="","",INDEX(INDIRECT("NOTA["&amp;PAJAK[#Headers]&amp;"]"),PAJAK[[#This Row],[//]]-2))</f>
        <v>KEN_1512_703-10</v>
      </c>
      <c r="D45" s="19">
        <f ca="1">MATCH(PAJAK[[#This Row],[ID]],[5]!Table1[ID],0)</f>
        <v>15</v>
      </c>
      <c r="E45" s="20">
        <f ca="1">IF(PAJAK[[#This Row],[ID]]="","",COUNTIF(NOTA[ID_H],PAJAK[[#This Row],[ID]]))</f>
        <v>10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45275</v>
      </c>
      <c r="H45" s="17">
        <f ca="1">IF(PAJAK[[#This Row],[//]]="","",INDEX(INDIRECT("NOTA["&amp;PAJAK[#Headers]&amp;"]"),PAJAK[[#This Row],[//]]-2))</f>
        <v>45272</v>
      </c>
      <c r="I45" s="16" t="str">
        <f ca="1">IF(PAJAK[[#This Row],[//]]="","",INDEX(INDIRECT("NOTA["&amp;PAJAK[#Headers]&amp;"]"),PAJAK[[#This Row],[//]]-2))</f>
        <v>23120703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179504400</v>
      </c>
      <c r="L45" s="23">
        <f ca="1">IF(PAJAK[[#This Row],[//]]="","",SUMIF(NOTA[ID_H],PAJAK[[#This Row],[ID]],NOTA[DISC]))</f>
        <v>37866576.600000001</v>
      </c>
      <c r="M45" s="23">
        <f ca="1">PAJAK[[#This Row],[SUB TOTAL]]-PAJAK[[#This Row],[DISKON]]</f>
        <v>141637823.40000001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127601642.7027027</v>
      </c>
      <c r="P45" s="23">
        <f ca="1">PAJAK[[#This Row],[DPP]]*PAJAK[[#This Row],[PPN]]</f>
        <v>14036180.697297297</v>
      </c>
      <c r="Q45" s="23">
        <f ca="1">PAJAK[[#This Row],[DPP]]+PAJAK[[#This Row],[PPN 11%]]</f>
        <v>141637823.40000001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362</v>
      </c>
      <c r="B46" s="21">
        <f ca="1">HYPERLINK("[NOTA_.XLSX]NOTA!c"&amp;PAJAK[[#This Row],[//]],IF(PAJAK[[#This Row],[//]]="","",INDEX(INDIRECT("NOTA["&amp;PAJAK[#Headers]&amp;"]"),PAJAK[[#This Row],[//]]-2)))</f>
        <v>74</v>
      </c>
      <c r="C46" s="19" t="str">
        <f ca="1">IF(PAJAK[[#This Row],[//]]="","",INDEX(INDIRECT("NOTA["&amp;PAJAK[#Headers]&amp;"]"),PAJAK[[#This Row],[//]]-2))</f>
        <v>KEN_1512_716-3</v>
      </c>
      <c r="D46" s="19">
        <f ca="1">MATCH(PAJAK[[#This Row],[ID]],[5]!Table1[ID],0)</f>
        <v>16</v>
      </c>
      <c r="E46" s="20">
        <f ca="1">IF(PAJAK[[#This Row],[ID]]="","",COUNTIF(NOTA[ID_H],PAJAK[[#This Row],[ID]]))</f>
        <v>3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45275</v>
      </c>
      <c r="H46" s="17">
        <f ca="1">IF(PAJAK[[#This Row],[//]]="","",INDEX(INDIRECT("NOTA["&amp;PAJAK[#Headers]&amp;"]"),PAJAK[[#This Row],[//]]-2))</f>
        <v>45272</v>
      </c>
      <c r="I46" s="16" t="str">
        <f ca="1">IF(PAJAK[[#This Row],[//]]="","",INDEX(INDIRECT("NOTA["&amp;PAJAK[#Headers]&amp;"]"),PAJAK[[#This Row],[//]]-2))</f>
        <v>23120716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72550000</v>
      </c>
      <c r="L46" s="23">
        <f ca="1">IF(PAJAK[[#This Row],[//]]="","",SUMIF(NOTA[ID_H],PAJAK[[#This Row],[ID]],NOTA[DISC]))</f>
        <v>15296600</v>
      </c>
      <c r="M46" s="23">
        <f ca="1">PAJAK[[#This Row],[SUB TOTAL]]-PAJAK[[#This Row],[DISKON]]</f>
        <v>57253400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51579639.639639638</v>
      </c>
      <c r="P46" s="23">
        <f ca="1">PAJAK[[#This Row],[DPP]]*PAJAK[[#This Row],[PPN]]</f>
        <v>5673760.3603603607</v>
      </c>
      <c r="Q46" s="23">
        <f ca="1">PAJAK[[#This Row],[DPP]]+PAJAK[[#This Row],[PPN 11%]]</f>
        <v>57253400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366</v>
      </c>
      <c r="B47" s="21">
        <f ca="1">HYPERLINK("[NOTA_.XLSX]NOTA!c"&amp;PAJAK[[#This Row],[//]],IF(PAJAK[[#This Row],[//]]="","",INDEX(INDIRECT("NOTA["&amp;PAJAK[#Headers]&amp;"]"),PAJAK[[#This Row],[//]]-2)))</f>
        <v>75</v>
      </c>
      <c r="C47" s="19" t="str">
        <f ca="1">IF(PAJAK[[#This Row],[//]]="","",INDEX(INDIRECT("NOTA["&amp;PAJAK[#Headers]&amp;"]"),PAJAK[[#This Row],[//]]-2))</f>
        <v>KEN_1512_905-7</v>
      </c>
      <c r="D47" s="19">
        <f ca="1">MATCH(PAJAK[[#This Row],[ID]],[5]!Table1[ID],0)</f>
        <v>17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45275</v>
      </c>
      <c r="H47" s="17">
        <f ca="1">IF(PAJAK[[#This Row],[//]]="","",INDEX(INDIRECT("NOTA["&amp;PAJAK[#Headers]&amp;"]"),PAJAK[[#This Row],[//]]-2))</f>
        <v>45273</v>
      </c>
      <c r="I47" s="16" t="str">
        <f ca="1">IF(PAJAK[[#This Row],[//]]="","",INDEX(INDIRECT("NOTA["&amp;PAJAK[#Headers]&amp;"]"),PAJAK[[#This Row],[//]]-2))</f>
        <v>23120905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37409200</v>
      </c>
      <c r="L47" s="23">
        <f ca="1">IF(PAJAK[[#This Row],[//]]="","",SUMIF(NOTA[ID_H],PAJAK[[#This Row],[ID]],NOTA[DISC]))</f>
        <v>7454168</v>
      </c>
      <c r="M47" s="23">
        <f ca="1">PAJAK[[#This Row],[SUB TOTAL]]-PAJAK[[#This Row],[DISKON]]</f>
        <v>29955032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26986515.315315314</v>
      </c>
      <c r="P47" s="23">
        <f ca="1">PAJAK[[#This Row],[DPP]]*PAJAK[[#This Row],[PPN]]</f>
        <v>2968516.6846846845</v>
      </c>
      <c r="Q47" s="23">
        <f ca="1">PAJAK[[#This Row],[DPP]]+PAJAK[[#This Row],[PPN 11%]]</f>
        <v>29955032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374</v>
      </c>
      <c r="B48" s="21">
        <f ca="1">HYPERLINK("[NOTA_.XLSX]NOTA!c"&amp;PAJAK[[#This Row],[//]],IF(PAJAK[[#This Row],[//]]="","",INDEX(INDIRECT("NOTA["&amp;PAJAK[#Headers]&amp;"]"),PAJAK[[#This Row],[//]]-2)))</f>
        <v>76</v>
      </c>
      <c r="C48" s="19" t="str">
        <f ca="1">IF(PAJAK[[#This Row],[//]]="","",INDEX(INDIRECT("NOTA["&amp;PAJAK[#Headers]&amp;"]"),PAJAK[[#This Row],[//]]-2))</f>
        <v>KEN_1612_057-4</v>
      </c>
      <c r="D48" s="19">
        <f ca="1">MATCH(PAJAK[[#This Row],[ID]],[5]!Table1[ID],0)</f>
        <v>18</v>
      </c>
      <c r="E48" s="20">
        <f ca="1">IF(PAJAK[[#This Row],[ID]]="","",COUNTIF(NOTA[ID_H],PAJAK[[#This Row],[ID]]))</f>
        <v>4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45276</v>
      </c>
      <c r="H48" s="17">
        <f ca="1">IF(PAJAK[[#This Row],[//]]="","",INDEX(INDIRECT("NOTA["&amp;PAJAK[#Headers]&amp;"]"),PAJAK[[#This Row],[//]]-2))</f>
        <v>45274</v>
      </c>
      <c r="I48" s="16" t="str">
        <f ca="1">IF(PAJAK[[#This Row],[//]]="","",INDEX(INDIRECT("NOTA["&amp;PAJAK[#Headers]&amp;"]"),PAJAK[[#This Row],[//]]-2))</f>
        <v>23121057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8059200</v>
      </c>
      <c r="L48" s="23">
        <f ca="1">IF(PAJAK[[#This Row],[//]]="","",SUMIF(NOTA[ID_H],PAJAK[[#This Row],[ID]],NOTA[DISC]))</f>
        <v>1370064</v>
      </c>
      <c r="M48" s="23">
        <f ca="1">PAJAK[[#This Row],[SUB TOTAL]]-PAJAK[[#This Row],[DISKON]]</f>
        <v>6689136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6026248.6486486485</v>
      </c>
      <c r="P48" s="23">
        <f ca="1">PAJAK[[#This Row],[DPP]]*PAJAK[[#This Row],[PPN]]</f>
        <v>662887.35135135136</v>
      </c>
      <c r="Q48" s="23">
        <f ca="1">PAJAK[[#This Row],[DPP]]+PAJAK[[#This Row],[PPN 11%]]</f>
        <v>6689136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379</v>
      </c>
      <c r="B49" s="21">
        <f ca="1">HYPERLINK("[NOTA_.XLSX]NOTA!c"&amp;PAJAK[[#This Row],[//]],IF(PAJAK[[#This Row],[//]]="","",INDEX(INDIRECT("NOTA["&amp;PAJAK[#Headers]&amp;"]"),PAJAK[[#This Row],[//]]-2)))</f>
        <v>77</v>
      </c>
      <c r="C49" s="19" t="str">
        <f ca="1">IF(PAJAK[[#This Row],[//]]="","",INDEX(INDIRECT("NOTA["&amp;PAJAK[#Headers]&amp;"]"),PAJAK[[#This Row],[//]]-2))</f>
        <v>KEN_1612_235-3</v>
      </c>
      <c r="D49" s="19">
        <f ca="1">MATCH(PAJAK[[#This Row],[ID]],[5]!Table1[ID],0)</f>
        <v>21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45276</v>
      </c>
      <c r="H49" s="17">
        <f ca="1">IF(PAJAK[[#This Row],[//]]="","",INDEX(INDIRECT("NOTA["&amp;PAJAK[#Headers]&amp;"]"),PAJAK[[#This Row],[//]]-2))</f>
        <v>45275</v>
      </c>
      <c r="I49" s="16" t="str">
        <f ca="1">IF(PAJAK[[#This Row],[//]]="","",INDEX(INDIRECT("NOTA["&amp;PAJAK[#Headers]&amp;"]"),PAJAK[[#This Row],[//]]-2))</f>
        <v>23121235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5609600</v>
      </c>
      <c r="L49" s="23">
        <f ca="1">IF(PAJAK[[#This Row],[//]]="","",SUMIF(NOTA[ID_H],PAJAK[[#This Row],[ID]],NOTA[DISC]))</f>
        <v>953632</v>
      </c>
      <c r="M49" s="23">
        <f ca="1">PAJAK[[#This Row],[SUB TOTAL]]-PAJAK[[#This Row],[DISKON]]</f>
        <v>4655968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4194565.7657657657</v>
      </c>
      <c r="P49" s="23">
        <f ca="1">PAJAK[[#This Row],[DPP]]*PAJAK[[#This Row],[PPN]]</f>
        <v>461402.2342342342</v>
      </c>
      <c r="Q49" s="23">
        <f ca="1">PAJAK[[#This Row],[DPP]]+PAJAK[[#This Row],[PPN 11%]]</f>
        <v>4655968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383</v>
      </c>
      <c r="B50" s="22">
        <f ca="1">HYPERLINK("[NOTA_.XLSX]NOTA!c"&amp;PAJAK[[#This Row],[//]],IF(PAJAK[[#This Row],[//]]="","",INDEX(INDIRECT("NOTA["&amp;PAJAK[#Headers]&amp;"]"),PAJAK[[#This Row],[//]]-2)))</f>
        <v>78</v>
      </c>
      <c r="C50" s="15" t="str">
        <f ca="1">IF(PAJAK[[#This Row],[//]]="","",INDEX(INDIRECT("NOTA["&amp;PAJAK[#Headers]&amp;"]"),PAJAK[[#This Row],[//]]-2))</f>
        <v>KEN_1612_192-3</v>
      </c>
      <c r="D50" s="15">
        <f ca="1">MATCH(PAJAK[[#This Row],[ID]],[5]!Table1[ID],0)</f>
        <v>20</v>
      </c>
      <c r="E50" s="16">
        <f ca="1">IF(PAJAK[[#This Row],[ID]]="","",COUNTIF(NOTA[ID_H],PAJAK[[#This Row],[ID]]))</f>
        <v>3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45276</v>
      </c>
      <c r="H50" s="17">
        <f ca="1">IF(PAJAK[[#This Row],[//]]="","",INDEX(INDIRECT("NOTA["&amp;PAJAK[#Headers]&amp;"]"),PAJAK[[#This Row],[//]]-2))</f>
        <v>45275</v>
      </c>
      <c r="I50" s="16" t="str">
        <f ca="1">IF(PAJAK[[#This Row],[//]]="","",INDEX(INDIRECT("NOTA["&amp;PAJAK[#Headers]&amp;"]"),PAJAK[[#This Row],[//]]-2))</f>
        <v>23121192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50592000</v>
      </c>
      <c r="L50" s="23">
        <f ca="1">IF(PAJAK[[#This Row],[//]]="","",SUMIF(NOTA[ID_H],PAJAK[[#This Row],[ID]],NOTA[DISC]))</f>
        <v>10700208</v>
      </c>
      <c r="M50" s="23">
        <f ca="1">PAJAK[[#This Row],[SUB TOTAL]]-PAJAK[[#This Row],[DISKON]]</f>
        <v>39891792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35938551.351351351</v>
      </c>
      <c r="P50" s="23">
        <f ca="1">PAJAK[[#This Row],[DPP]]*PAJAK[[#This Row],[PPN]]</f>
        <v>3953240.6486486485</v>
      </c>
      <c r="Q50" s="23">
        <f ca="1">PAJAK[[#This Row],[DPP]]+PAJAK[[#This Row],[PPN 11%]]</f>
        <v>39891792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387</v>
      </c>
      <c r="B51" s="21">
        <f ca="1">HYPERLINK("[NOTA_.XLSX]NOTA!c"&amp;PAJAK[[#This Row],[//]],IF(PAJAK[[#This Row],[//]]="","",INDEX(INDIRECT("NOTA["&amp;PAJAK[#Headers]&amp;"]"),PAJAK[[#This Row],[//]]-2)))</f>
        <v>79</v>
      </c>
      <c r="C51" s="19" t="str">
        <f ca="1">IF(PAJAK[[#This Row],[//]]="","",INDEX(INDIRECT("NOTA["&amp;PAJAK[#Headers]&amp;"]"),PAJAK[[#This Row],[//]]-2))</f>
        <v>KEN_1612_185-10</v>
      </c>
      <c r="D51" s="19">
        <f ca="1">MATCH(PAJAK[[#This Row],[ID]],[5]!Table1[ID],0)</f>
        <v>19</v>
      </c>
      <c r="E51" s="20">
        <f ca="1">IF(PAJAK[[#This Row],[ID]]="","",COUNTIF(NOTA[ID_H],PAJAK[[#This Row],[ID]]))</f>
        <v>10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45276</v>
      </c>
      <c r="H51" s="17">
        <f ca="1">IF(PAJAK[[#This Row],[//]]="","",INDEX(INDIRECT("NOTA["&amp;PAJAK[#Headers]&amp;"]"),PAJAK[[#This Row],[//]]-2))</f>
        <v>45275</v>
      </c>
      <c r="I51" s="16" t="str">
        <f ca="1">IF(PAJAK[[#This Row],[//]]="","",INDEX(INDIRECT("NOTA["&amp;PAJAK[#Headers]&amp;"]"),PAJAK[[#This Row],[//]]-2))</f>
        <v>23121185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86608000</v>
      </c>
      <c r="L51" s="23">
        <f ca="1">IF(PAJAK[[#This Row],[//]]="","",SUMIF(NOTA[ID_H],PAJAK[[#This Row],[ID]],NOTA[DISC]))</f>
        <v>18134062.399999999</v>
      </c>
      <c r="M51" s="23">
        <f ca="1">PAJAK[[#This Row],[SUB TOTAL]]-PAJAK[[#This Row],[DISKON]]</f>
        <v>68473937.599999994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61688232.072072059</v>
      </c>
      <c r="P51" s="23">
        <f ca="1">PAJAK[[#This Row],[DPP]]*PAJAK[[#This Row],[PPN]]</f>
        <v>6785705.5279279267</v>
      </c>
      <c r="Q51" s="23">
        <f ca="1">PAJAK[[#This Row],[DPP]]+PAJAK[[#This Row],[PPN 11%]]</f>
        <v>68473937.599999979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398</v>
      </c>
      <c r="B52" s="21">
        <f ca="1">HYPERLINK("[NOTA_.XLSX]NOTA!c"&amp;PAJAK[[#This Row],[//]],IF(PAJAK[[#This Row],[//]]="","",INDEX(INDIRECT("NOTA["&amp;PAJAK[#Headers]&amp;"]"),PAJAK[[#This Row],[//]]-2)))</f>
        <v>80</v>
      </c>
      <c r="C52" s="19" t="str">
        <f ca="1">IF(PAJAK[[#This Row],[//]]="","",INDEX(INDIRECT("NOTA["&amp;PAJAK[#Headers]&amp;"]"),PAJAK[[#This Row],[//]]-2))</f>
        <v>KAL_1612_992-7</v>
      </c>
      <c r="D52" s="19">
        <f ca="1">MATCH(PAJAK[[#This Row],[ID]],[5]!Table1[ID],0)</f>
        <v>63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KALINDO SUKSES</v>
      </c>
      <c r="G52" s="17">
        <f ca="1">IF(PAJAK[[#This Row],[//]]="","",INDEX(NOTA[TGL_H],PAJAK[[#This Row],[//]]-2))</f>
        <v>45276</v>
      </c>
      <c r="H52" s="17">
        <f ca="1">IF(PAJAK[[#This Row],[//]]="","",INDEX(INDIRECT("NOTA["&amp;PAJAK[#Headers]&amp;"]"),PAJAK[[#This Row],[//]]-2))</f>
        <v>45273</v>
      </c>
      <c r="I52" s="16" t="str">
        <f ca="1">IF(PAJAK[[#This Row],[//]]="","",INDEX(INDIRECT("NOTA["&amp;PAJAK[#Headers]&amp;"]"),PAJAK[[#This Row],[//]]-2))</f>
        <v>SN23122992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37440000</v>
      </c>
      <c r="L52" s="23">
        <f ca="1">IF(PAJAK[[#This Row],[//]]="","",SUMIF(NOTA[ID_H],PAJAK[[#This Row],[ID]],NOTA[DISC]))</f>
        <v>7956000</v>
      </c>
      <c r="M52" s="23">
        <f ca="1">PAJAK[[#This Row],[SUB TOTAL]]-PAJAK[[#This Row],[DISKON]]</f>
        <v>29484000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26562162.162162159</v>
      </c>
      <c r="P52" s="23">
        <f ca="1">PAJAK[[#This Row],[DPP]]*PAJAK[[#This Row],[PPN]]</f>
        <v>2921837.8378378376</v>
      </c>
      <c r="Q52" s="23">
        <f ca="1">PAJAK[[#This Row],[DPP]]+PAJAK[[#This Row],[PPN 11%]]</f>
        <v>29483999.999999996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406</v>
      </c>
      <c r="B53" s="21">
        <f ca="1">HYPERLINK("[NOTA_.XLSX]NOTA!c"&amp;PAJAK[[#This Row],[//]],IF(PAJAK[[#This Row],[//]]="","",INDEX(INDIRECT("NOTA["&amp;PAJAK[#Headers]&amp;"]"),PAJAK[[#This Row],[//]]-2)))</f>
        <v>81</v>
      </c>
      <c r="C53" s="19" t="str">
        <f ca="1">IF(PAJAK[[#This Row],[//]]="","",INDEX(INDIRECT("NOTA["&amp;PAJAK[#Headers]&amp;"]"),PAJAK[[#This Row],[//]]-2))</f>
        <v>ATA_1612_731-8</v>
      </c>
      <c r="D53" s="19">
        <f ca="1">MATCH(PAJAK[[#This Row],[ID]],[5]!Table1[ID],0)</f>
        <v>55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45276</v>
      </c>
      <c r="H53" s="17">
        <f ca="1">IF(PAJAK[[#This Row],[//]]="","",INDEX(INDIRECT("NOTA["&amp;PAJAK[#Headers]&amp;"]"),PAJAK[[#This Row],[//]]-2))</f>
        <v>45273</v>
      </c>
      <c r="I53" s="16" t="str">
        <f ca="1">IF(PAJAK[[#This Row],[//]]="","",INDEX(INDIRECT("NOTA["&amp;PAJAK[#Headers]&amp;"]"),PAJAK[[#This Row],[//]]-2))</f>
        <v>SA231221731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52862400</v>
      </c>
      <c r="L53" s="23">
        <f ca="1">IF(PAJAK[[#This Row],[//]]="","",SUMIF(NOTA[ID_H],PAJAK[[#This Row],[ID]],NOTA[DISC]))</f>
        <v>10524615</v>
      </c>
      <c r="M53" s="23">
        <f ca="1">PAJAK[[#This Row],[SUB TOTAL]]-PAJAK[[#This Row],[DISKON]]</f>
        <v>42337785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38142148.648648642</v>
      </c>
      <c r="P53" s="23">
        <f ca="1">PAJAK[[#This Row],[DPP]]*PAJAK[[#This Row],[PPN]]</f>
        <v>4195636.3513513505</v>
      </c>
      <c r="Q53" s="23">
        <f ca="1">PAJAK[[#This Row],[DPP]]+PAJAK[[#This Row],[PPN 11%]]</f>
        <v>42337784.999999993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415</v>
      </c>
      <c r="B54" s="22">
        <f ca="1">HYPERLINK("[NOTA_.XLSX]NOTA!c"&amp;PAJAK[[#This Row],[//]],IF(PAJAK[[#This Row],[//]]="","",INDEX(INDIRECT("NOTA["&amp;PAJAK[#Headers]&amp;"]"),PAJAK[[#This Row],[//]]-2)))</f>
        <v>82</v>
      </c>
      <c r="C54" s="15" t="str">
        <f ca="1">IF(PAJAK[[#This Row],[//]]="","",INDEX(INDIRECT("NOTA["&amp;PAJAK[#Headers]&amp;"]"),PAJAK[[#This Row],[//]]-2))</f>
        <v>ATA_1612_786-3</v>
      </c>
      <c r="D54" s="15">
        <f ca="1">MATCH(PAJAK[[#This Row],[ID]],[5]!Table1[ID],0)</f>
        <v>57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45276</v>
      </c>
      <c r="H54" s="17">
        <f ca="1">IF(PAJAK[[#This Row],[//]]="","",INDEX(INDIRECT("NOTA["&amp;PAJAK[#Headers]&amp;"]"),PAJAK[[#This Row],[//]]-2))</f>
        <v>45273</v>
      </c>
      <c r="I54" s="16" t="str">
        <f ca="1">IF(PAJAK[[#This Row],[//]]="","",INDEX(INDIRECT("NOTA["&amp;PAJAK[#Headers]&amp;"]"),PAJAK[[#This Row],[//]]-2))</f>
        <v>SA231221786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26244000</v>
      </c>
      <c r="L54" s="23">
        <f ca="1">IF(PAJAK[[#This Row],[//]]="","",SUMIF(NOTA[ID_H],PAJAK[[#This Row],[ID]],NOTA[DISC]))</f>
        <v>5540625</v>
      </c>
      <c r="M54" s="23">
        <f ca="1">PAJAK[[#This Row],[SUB TOTAL]]-PAJAK[[#This Row],[DISKON]]</f>
        <v>20703375</v>
      </c>
      <c r="N54" s="23">
        <f ca="1">IF(PAJAK[[#This Row],[//]]="","",INDEX(INDIRECT("NOTA["&amp;PAJAK[#Headers]&amp;"]"),PAJAK[[#This Row],[//]]-2+PAJAK[[#This Row],[QB]]-1))</f>
        <v>688275</v>
      </c>
      <c r="O54" s="23">
        <f ca="1">(PAJAK[[#This Row],[SUB T-DISC]]-PAJAK[[#This Row],[DISC DLL]])/111%</f>
        <v>18031621.62162162</v>
      </c>
      <c r="P54" s="23">
        <f ca="1">PAJAK[[#This Row],[DPP]]*PAJAK[[#This Row],[PPN]]</f>
        <v>1983478.3783783782</v>
      </c>
      <c r="Q54" s="23">
        <f ca="1">PAJAK[[#This Row],[DPP]]+PAJAK[[#This Row],[PPN 11%]]</f>
        <v>20015100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419</v>
      </c>
      <c r="B55" s="21">
        <f ca="1">HYPERLINK("[NOTA_.XLSX]NOTA!c"&amp;PAJAK[[#This Row],[//]],IF(PAJAK[[#This Row],[//]]="","",INDEX(INDIRECT("NOTA["&amp;PAJAK[#Headers]&amp;"]"),PAJAK[[#This Row],[//]]-2)))</f>
        <v>83</v>
      </c>
      <c r="C55" s="19" t="str">
        <f ca="1">IF(PAJAK[[#This Row],[//]]="","",INDEX(INDIRECT("NOTA["&amp;PAJAK[#Headers]&amp;"]"),PAJAK[[#This Row],[//]]-2))</f>
        <v>ATA_1612_756-9</v>
      </c>
      <c r="D55" s="19">
        <f ca="1">MATCH(PAJAK[[#This Row],[ID]],[5]!Table1[ID],0)</f>
        <v>56</v>
      </c>
      <c r="E55" s="20">
        <f ca="1">IF(PAJAK[[#This Row],[ID]]="","",COUNTIF(NOTA[ID_H],PAJAK[[#This Row],[ID]]))</f>
        <v>9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45276</v>
      </c>
      <c r="H55" s="17">
        <f ca="1">IF(PAJAK[[#This Row],[//]]="","",INDEX(INDIRECT("NOTA["&amp;PAJAK[#Headers]&amp;"]"),PAJAK[[#This Row],[//]]-2))</f>
        <v>45273</v>
      </c>
      <c r="I55" s="16" t="str">
        <f ca="1">IF(PAJAK[[#This Row],[//]]="","",INDEX(INDIRECT("NOTA["&amp;PAJAK[#Headers]&amp;"]"),PAJAK[[#This Row],[//]]-2))</f>
        <v>SA231221756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12692400</v>
      </c>
      <c r="L55" s="23">
        <f ca="1">IF(PAJAK[[#This Row],[//]]="","",SUMIF(NOTA[ID_H],PAJAK[[#This Row],[ID]],NOTA[DISC]))</f>
        <v>2140503</v>
      </c>
      <c r="M55" s="23">
        <f ca="1">PAJAK[[#This Row],[SUB TOTAL]]-PAJAK[[#This Row],[DISKON]]</f>
        <v>10551897</v>
      </c>
      <c r="N55" s="23">
        <f ca="1">IF(PAJAK[[#This Row],[//]]="","",INDEX(INDIRECT("NOTA["&amp;PAJAK[#Headers]&amp;"]"),PAJAK[[#This Row],[//]]-2+PAJAK[[#This Row],[QB]]-1))</f>
        <v>48222</v>
      </c>
      <c r="O55" s="23">
        <f ca="1">(PAJAK[[#This Row],[SUB T-DISC]]-PAJAK[[#This Row],[DISC DLL]])/111%</f>
        <v>9462770.2702702694</v>
      </c>
      <c r="P55" s="23">
        <f ca="1">PAJAK[[#This Row],[DPP]]*PAJAK[[#This Row],[PPN]]</f>
        <v>1040904.7297297296</v>
      </c>
      <c r="Q55" s="23">
        <f ca="1">PAJAK[[#This Row],[DPP]]+PAJAK[[#This Row],[PPN 11%]]</f>
        <v>10503674.999999998</v>
      </c>
      <c r="R55" s="18" t="str">
        <f ca="1">IF(ISNUMBER(PAJAK[[#This Row],[//]]),PPN,"")</f>
        <v>11%</v>
      </c>
    </row>
    <row r="56" spans="1:18" x14ac:dyDescent="0.25">
      <c r="A56" s="15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429</v>
      </c>
      <c r="B56" s="22">
        <f ca="1">HYPERLINK("[NOTA_.XLSX]NOTA!c"&amp;PAJAK[[#This Row],[//]],IF(PAJAK[[#This Row],[//]]="","",INDEX(INDIRECT("NOTA["&amp;PAJAK[#Headers]&amp;"]"),PAJAK[[#This Row],[//]]-2)))</f>
        <v>84</v>
      </c>
      <c r="C56" s="15" t="str">
        <f ca="1">IF(PAJAK[[#This Row],[//]]="","",INDEX(INDIRECT("NOTA["&amp;PAJAK[#Headers]&amp;"]"),PAJAK[[#This Row],[//]]-2))</f>
        <v>KEN_2312_423-4</v>
      </c>
      <c r="D56" s="15">
        <f ca="1">MATCH(PAJAK[[#This Row],[ID]],[5]!Table1[ID],0)</f>
        <v>22</v>
      </c>
      <c r="E56" s="16">
        <f ca="1">IF(PAJAK[[#This Row],[ID]]="","",COUNTIF(NOTA[ID_H],PAJAK[[#This Row],[ID]]))</f>
        <v>4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45283</v>
      </c>
      <c r="H56" s="17">
        <f ca="1">IF(PAJAK[[#This Row],[//]]="","",INDEX(INDIRECT("NOTA["&amp;PAJAK[#Headers]&amp;"]"),PAJAK[[#This Row],[//]]-2))</f>
        <v>45278</v>
      </c>
      <c r="I56" s="16" t="str">
        <f ca="1">IF(PAJAK[[#This Row],[//]]="","",INDEX(INDIRECT("NOTA["&amp;PAJAK[#Headers]&amp;"]"),PAJAK[[#This Row],[//]]-2))</f>
        <v>23121423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42336000</v>
      </c>
      <c r="L56" s="23">
        <f ca="1">IF(PAJAK[[#This Row],[//]]="","",SUMIF(NOTA[ID_H],PAJAK[[#This Row],[ID]],NOTA[DISC]))</f>
        <v>8954064</v>
      </c>
      <c r="M56" s="23">
        <f ca="1">PAJAK[[#This Row],[SUB TOTAL]]-PAJAK[[#This Row],[DISKON]]</f>
        <v>33381936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30073816.216216214</v>
      </c>
      <c r="P56" s="23">
        <f ca="1">PAJAK[[#This Row],[DPP]]*PAJAK[[#This Row],[PPN]]</f>
        <v>3308119.7837837837</v>
      </c>
      <c r="Q56" s="23">
        <f ca="1">PAJAK[[#This Row],[DPP]]+PAJAK[[#This Row],[PPN 11%]]</f>
        <v>33381935.999999996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434</v>
      </c>
      <c r="B57" s="15">
        <f ca="1">HYPERLINK("[NOTA_.XLSX]NOTA!c"&amp;PAJAK[[#This Row],[//]],IF(PAJAK[[#This Row],[//]]="","",INDEX(INDIRECT("NOTA["&amp;PAJAK[#Headers]&amp;"]"),PAJAK[[#This Row],[//]]-2)))</f>
        <v>85</v>
      </c>
      <c r="C57" s="15" t="str">
        <f ca="1">IF(PAJAK[[#This Row],[//]]="","",INDEX(INDIRECT("NOTA["&amp;PAJAK[#Headers]&amp;"]"),PAJAK[[#This Row],[//]]-2))</f>
        <v>KEN_2312_453-1</v>
      </c>
      <c r="D57" s="15">
        <f ca="1">MATCH(PAJAK[[#This Row],[ID]],[5]!Table1[ID],0)</f>
        <v>24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45283</v>
      </c>
      <c r="H57" s="17">
        <f ca="1">IF(PAJAK[[#This Row],[//]]="","",INDEX(INDIRECT("NOTA["&amp;PAJAK[#Headers]&amp;"]"),PAJAK[[#This Row],[//]]-2))</f>
        <v>45278</v>
      </c>
      <c r="I57" s="16" t="str">
        <f ca="1">IF(PAJAK[[#This Row],[//]]="","",INDEX(INDIRECT("NOTA["&amp;PAJAK[#Headers]&amp;"]"),PAJAK[[#This Row],[//]]-2))</f>
        <v>23121453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10440000</v>
      </c>
      <c r="L57" s="23">
        <f ca="1">IF(PAJAK[[#This Row],[//]]="","",SUMIF(NOTA[ID_H],PAJAK[[#This Row],[ID]],NOTA[DISC]))</f>
        <v>2208060</v>
      </c>
      <c r="M57" s="23">
        <f ca="1">PAJAK[[#This Row],[SUB TOTAL]]-PAJAK[[#This Row],[DISKON]]</f>
        <v>8231940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7416162.1621621614</v>
      </c>
      <c r="P57" s="23">
        <f ca="1">PAJAK[[#This Row],[DPP]]*PAJAK[[#This Row],[PPN]]</f>
        <v>815777.83783783775</v>
      </c>
      <c r="Q57" s="23">
        <f ca="1">PAJAK[[#This Row],[DPP]]+PAJAK[[#This Row],[PPN 11%]]</f>
        <v>8231939.9999999991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436</v>
      </c>
      <c r="B58" s="15">
        <f ca="1">HYPERLINK("[NOTA_.XLSX]NOTA!c"&amp;PAJAK[[#This Row],[//]],IF(PAJAK[[#This Row],[//]]="","",INDEX(INDIRECT("NOTA["&amp;PAJAK[#Headers]&amp;"]"),PAJAK[[#This Row],[//]]-2)))</f>
        <v>86</v>
      </c>
      <c r="C58" s="15" t="str">
        <f ca="1">IF(PAJAK[[#This Row],[//]]="","",INDEX(INDIRECT("NOTA["&amp;PAJAK[#Headers]&amp;"]"),PAJAK[[#This Row],[//]]-2))</f>
        <v>KEN_2312_436-2</v>
      </c>
      <c r="D58" s="15">
        <f ca="1">MATCH(PAJAK[[#This Row],[ID]],[5]!Table1[ID],0)</f>
        <v>23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45283</v>
      </c>
      <c r="H58" s="17">
        <f ca="1">IF(PAJAK[[#This Row],[//]]="","",INDEX(INDIRECT("NOTA["&amp;PAJAK[#Headers]&amp;"]"),PAJAK[[#This Row],[//]]-2))</f>
        <v>45278</v>
      </c>
      <c r="I58" s="16" t="str">
        <f ca="1">IF(PAJAK[[#This Row],[//]]="","",INDEX(INDIRECT("NOTA["&amp;PAJAK[#Headers]&amp;"]"),PAJAK[[#This Row],[//]]-2))</f>
        <v>23121436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67392000</v>
      </c>
      <c r="L58" s="23">
        <f ca="1">IF(PAJAK[[#This Row],[//]]="","",SUMIF(NOTA[ID_H],PAJAK[[#This Row],[ID]],NOTA[DISC]))</f>
        <v>11456640</v>
      </c>
      <c r="M58" s="23">
        <f ca="1">PAJAK[[#This Row],[SUB TOTAL]]-PAJAK[[#This Row],[DISKON]]</f>
        <v>55935360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50392216.216216214</v>
      </c>
      <c r="P58" s="23">
        <f ca="1">PAJAK[[#This Row],[DPP]]*PAJAK[[#This Row],[PPN]]</f>
        <v>5543143.7837837832</v>
      </c>
      <c r="Q58" s="23">
        <f ca="1">PAJAK[[#This Row],[DPP]]+PAJAK[[#This Row],[PPN 11%]]</f>
        <v>55935360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439</v>
      </c>
      <c r="B59" s="21">
        <f ca="1">HYPERLINK("[NOTA_.XLSX]NOTA!c"&amp;PAJAK[[#This Row],[//]],IF(PAJAK[[#This Row],[//]]="","",INDEX(INDIRECT("NOTA["&amp;PAJAK[#Headers]&amp;"]"),PAJAK[[#This Row],[//]]-2)))</f>
        <v>87</v>
      </c>
      <c r="C59" s="19" t="str">
        <f ca="1">IF(PAJAK[[#This Row],[//]]="","",INDEX(INDIRECT("NOTA["&amp;PAJAK[#Headers]&amp;"]"),PAJAK[[#This Row],[//]]-2))</f>
        <v>KEN_2312_486-3</v>
      </c>
      <c r="D59" s="19">
        <f ca="1">MATCH(PAJAK[[#This Row],[ID]],[5]!Table1[ID],0)</f>
        <v>25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45283</v>
      </c>
      <c r="H59" s="17">
        <f ca="1">IF(PAJAK[[#This Row],[//]]="","",INDEX(INDIRECT("NOTA["&amp;PAJAK[#Headers]&amp;"]"),PAJAK[[#This Row],[//]]-2))</f>
        <v>45279</v>
      </c>
      <c r="I59" s="16" t="str">
        <f ca="1">IF(PAJAK[[#This Row],[//]]="","",INDEX(INDIRECT("NOTA["&amp;PAJAK[#Headers]&amp;"]"),PAJAK[[#This Row],[//]]-2))</f>
        <v>23121486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12096000</v>
      </c>
      <c r="L59" s="23">
        <f ca="1">IF(PAJAK[[#This Row],[//]]="","",SUMIF(NOTA[ID_H],PAJAK[[#This Row],[ID]],NOTA[DISC]))</f>
        <v>2217672</v>
      </c>
      <c r="M59" s="23">
        <f ca="1">PAJAK[[#This Row],[SUB TOTAL]]-PAJAK[[#This Row],[DISKON]]</f>
        <v>9878328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8899394.5945945941</v>
      </c>
      <c r="P59" s="23">
        <f ca="1">PAJAK[[#This Row],[DPP]]*PAJAK[[#This Row],[PPN]]</f>
        <v>978933.40540540533</v>
      </c>
      <c r="Q59" s="23">
        <f ca="1">PAJAK[[#This Row],[DPP]]+PAJAK[[#This Row],[PPN 11%]]</f>
        <v>9878328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443</v>
      </c>
      <c r="B60" s="21">
        <f ca="1">HYPERLINK("[NOTA_.XLSX]NOTA!c"&amp;PAJAK[[#This Row],[//]],IF(PAJAK[[#This Row],[//]]="","",INDEX(INDIRECT("NOTA["&amp;PAJAK[#Headers]&amp;"]"),PAJAK[[#This Row],[//]]-2)))</f>
        <v>88</v>
      </c>
      <c r="C60" s="19" t="str">
        <f ca="1">IF(PAJAK[[#This Row],[//]]="","",INDEX(INDIRECT("NOTA["&amp;PAJAK[#Headers]&amp;"]"),PAJAK[[#This Row],[//]]-2))</f>
        <v>KEN_2312_647-3</v>
      </c>
      <c r="D60" s="19">
        <f ca="1">MATCH(PAJAK[[#This Row],[ID]],[5]!Table1[ID],0)</f>
        <v>26</v>
      </c>
      <c r="E60" s="20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KENKO SINAR INDONESIA</v>
      </c>
      <c r="G60" s="17">
        <f ca="1">IF(PAJAK[[#This Row],[//]]="","",INDEX(NOTA[TGL_H],PAJAK[[#This Row],[//]]-2))</f>
        <v>45283</v>
      </c>
      <c r="H60" s="17">
        <f ca="1">IF(PAJAK[[#This Row],[//]]="","",INDEX(INDIRECT("NOTA["&amp;PAJAK[#Headers]&amp;"]"),PAJAK[[#This Row],[//]]-2))</f>
        <v>45280</v>
      </c>
      <c r="I60" s="16" t="str">
        <f ca="1">IF(PAJAK[[#This Row],[//]]="","",INDEX(INDIRECT("NOTA["&amp;PAJAK[#Headers]&amp;"]"),PAJAK[[#This Row],[//]]-2))</f>
        <v>23121647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4776000</v>
      </c>
      <c r="L60" s="23">
        <f ca="1">IF(PAJAK[[#This Row],[//]]="","",SUMIF(NOTA[ID_H],PAJAK[[#This Row],[ID]],NOTA[DISC]))</f>
        <v>811920</v>
      </c>
      <c r="M60" s="23">
        <f ca="1">PAJAK[[#This Row],[SUB TOTAL]]-PAJAK[[#This Row],[DISKON]]</f>
        <v>3964080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3571243.2432432431</v>
      </c>
      <c r="P60" s="23">
        <f ca="1">PAJAK[[#This Row],[DPP]]*PAJAK[[#This Row],[PPN]]</f>
        <v>392836.75675675675</v>
      </c>
      <c r="Q60" s="23">
        <f ca="1">PAJAK[[#This Row],[DPP]]+PAJAK[[#This Row],[PPN 11%]]</f>
        <v>3964080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447</v>
      </c>
      <c r="B61" s="22">
        <f ca="1">HYPERLINK("[NOTA_.XLSX]NOTA!c"&amp;PAJAK[[#This Row],[//]],IF(PAJAK[[#This Row],[//]]="","",INDEX(INDIRECT("NOTA["&amp;PAJAK[#Headers]&amp;"]"),PAJAK[[#This Row],[//]]-2)))</f>
        <v>89</v>
      </c>
      <c r="C61" s="15" t="str">
        <f ca="1">IF(PAJAK[[#This Row],[//]]="","",INDEX(INDIRECT("NOTA["&amp;PAJAK[#Headers]&amp;"]"),PAJAK[[#This Row],[//]]-2))</f>
        <v>ATA_2012_921-3</v>
      </c>
      <c r="D61" s="15">
        <f ca="1">MATCH(PAJAK[[#This Row],[ID]],[5]!Table1[ID],0)</f>
        <v>59</v>
      </c>
      <c r="E61" s="16">
        <f ca="1">IF(PAJAK[[#This Row],[ID]]="","",COUNTIF(NOTA[ID_H],PAJAK[[#This Row],[ID]]))</f>
        <v>3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45280</v>
      </c>
      <c r="H61" s="17">
        <f ca="1">IF(PAJAK[[#This Row],[//]]="","",INDEX(INDIRECT("NOTA["&amp;PAJAK[#Headers]&amp;"]"),PAJAK[[#This Row],[//]]-2))</f>
        <v>45276</v>
      </c>
      <c r="I61" s="16" t="str">
        <f ca="1">IF(PAJAK[[#This Row],[//]]="","",INDEX(INDIRECT("NOTA["&amp;PAJAK[#Headers]&amp;"]"),PAJAK[[#This Row],[//]]-2))</f>
        <v>SA231221921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7848000</v>
      </c>
      <c r="L61" s="23">
        <f ca="1">IF(PAJAK[[#This Row],[//]]="","",SUMIF(NOTA[ID_H],PAJAK[[#This Row],[ID]],NOTA[DISC]))</f>
        <v>1324350</v>
      </c>
      <c r="M61" s="23">
        <f ca="1">PAJAK[[#This Row],[SUB TOTAL]]-PAJAK[[#This Row],[DISKON]]</f>
        <v>6523650</v>
      </c>
      <c r="N61" s="23">
        <f ca="1">IF(PAJAK[[#This Row],[//]]="","",INDEX(INDIRECT("NOTA["&amp;PAJAK[#Headers]&amp;"]"),PAJAK[[#This Row],[//]]-2+PAJAK[[#This Row],[QB]]-1))</f>
        <v>91770</v>
      </c>
      <c r="O61" s="23">
        <f ca="1">(PAJAK[[#This Row],[SUB T-DISC]]-PAJAK[[#This Row],[DISC DLL]])/111%</f>
        <v>5794486.4864864862</v>
      </c>
      <c r="P61" s="23">
        <f ca="1">PAJAK[[#This Row],[DPP]]*PAJAK[[#This Row],[PPN]]</f>
        <v>637393.51351351349</v>
      </c>
      <c r="Q61" s="23">
        <f ca="1">PAJAK[[#This Row],[DPP]]+PAJAK[[#This Row],[PPN 11%]]</f>
        <v>6431880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451</v>
      </c>
      <c r="B62" s="21">
        <f ca="1">HYPERLINK("[NOTA_.XLSX]NOTA!c"&amp;PAJAK[[#This Row],[//]],IF(PAJAK[[#This Row],[//]]="","",INDEX(INDIRECT("NOTA["&amp;PAJAK[#Headers]&amp;"]"),PAJAK[[#This Row],[//]]-2)))</f>
        <v>90</v>
      </c>
      <c r="C62" s="19" t="str">
        <f ca="1">IF(PAJAK[[#This Row],[//]]="","",INDEX(INDIRECT("NOTA["&amp;PAJAK[#Headers]&amp;"]"),PAJAK[[#This Row],[//]]-2))</f>
        <v>ATA_2012_965-2</v>
      </c>
      <c r="D62" s="19">
        <f ca="1">MATCH(PAJAK[[#This Row],[ID]],[5]!Table1[ID],0)</f>
        <v>60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45280</v>
      </c>
      <c r="H62" s="17">
        <f ca="1">IF(PAJAK[[#This Row],[//]]="","",INDEX(INDIRECT("NOTA["&amp;PAJAK[#Headers]&amp;"]"),PAJAK[[#This Row],[//]]-2))</f>
        <v>45278</v>
      </c>
      <c r="I62" s="16" t="str">
        <f ca="1">IF(PAJAK[[#This Row],[//]]="","",INDEX(INDIRECT("NOTA["&amp;PAJAK[#Headers]&amp;"]"),PAJAK[[#This Row],[//]]-2))</f>
        <v>SA231221965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5176800</v>
      </c>
      <c r="L62" s="23">
        <f ca="1">IF(PAJAK[[#This Row],[//]]="","",SUMIF(NOTA[ID_H],PAJAK[[#This Row],[ID]],NOTA[DISC]))</f>
        <v>873585</v>
      </c>
      <c r="M62" s="23">
        <f ca="1">PAJAK[[#This Row],[SUB TOTAL]]-PAJAK[[#This Row],[DISKON]]</f>
        <v>4303215</v>
      </c>
      <c r="N62" s="23">
        <f ca="1">IF(PAJAK[[#This Row],[//]]="","",INDEX(INDIRECT("NOTA["&amp;PAJAK[#Headers]&amp;"]"),PAJAK[[#This Row],[//]]-2+PAJAK[[#This Row],[QB]]-1))</f>
        <v>137655</v>
      </c>
      <c r="O62" s="23">
        <f ca="1">(PAJAK[[#This Row],[SUB T-DISC]]-PAJAK[[#This Row],[DISC DLL]])/111%</f>
        <v>3752756.7567567565</v>
      </c>
      <c r="P62" s="23">
        <f ca="1">PAJAK[[#This Row],[DPP]]*PAJAK[[#This Row],[PPN]]</f>
        <v>412803.2432432432</v>
      </c>
      <c r="Q62" s="23">
        <f ca="1">PAJAK[[#This Row],[DPP]]+PAJAK[[#This Row],[PPN 11%]]</f>
        <v>4165559.9999999995</v>
      </c>
      <c r="R62" s="18" t="str">
        <f ca="1">IF(ISNUMBER(PAJAK[[#This Row],[//]]),PPN,"")</f>
        <v>11%</v>
      </c>
    </row>
    <row r="63" spans="1:18" x14ac:dyDescent="0.25">
      <c r="A63" s="15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497</v>
      </c>
      <c r="B63" s="22">
        <f ca="1">HYPERLINK("[NOTA_.XLSX]NOTA!c"&amp;PAJAK[[#This Row],[//]],IF(PAJAK[[#This Row],[//]]="","",INDEX(INDIRECT("NOTA["&amp;PAJAK[#Headers]&amp;"]"),PAJAK[[#This Row],[//]]-2)))</f>
        <v>99</v>
      </c>
      <c r="C63" s="15" t="str">
        <f ca="1">IF(PAJAK[[#This Row],[//]]="","",INDEX(INDIRECT("NOTA["&amp;PAJAK[#Headers]&amp;"]"),PAJAK[[#This Row],[//]]-2))</f>
        <v>KEN_2712_906-5</v>
      </c>
      <c r="D63" s="15">
        <f ca="1">MATCH(PAJAK[[#This Row],[ID]],[5]!Table1[ID],0)</f>
        <v>30</v>
      </c>
      <c r="E63" s="16">
        <f ca="1">IF(PAJAK[[#This Row],[ID]]="","",COUNTIF(NOTA[ID_H],PAJAK[[#This Row],[ID]]))</f>
        <v>5</v>
      </c>
      <c r="F63" s="15" t="str">
        <f ca="1">IF(PAJAK[[#This Row],[//]]="","",INDEX(CONV[2],MATCH(INDEX(INDIRECT("NOTA["&amp;PAJAK[#Headers]&amp;"]"),PAJAK[[#This Row],[//]]-2),CONV[1],0),0))</f>
        <v>PT KENKO SINAR INDONESIA</v>
      </c>
      <c r="G63" s="17">
        <f ca="1">IF(PAJAK[[#This Row],[//]]="","",INDEX(NOTA[TGL_H],PAJAK[[#This Row],[//]]-2))</f>
        <v>45287</v>
      </c>
      <c r="H63" s="17">
        <f ca="1">IF(PAJAK[[#This Row],[//]]="","",INDEX(INDIRECT("NOTA["&amp;PAJAK[#Headers]&amp;"]"),PAJAK[[#This Row],[//]]-2))</f>
        <v>45283</v>
      </c>
      <c r="I63" s="16">
        <f ca="1">IF(PAJAK[[#This Row],[//]]="","",INDEX(INDIRECT("NOTA["&amp;PAJAK[#Headers]&amp;"]"),PAJAK[[#This Row],[//]]-2))</f>
        <v>23121906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14851200</v>
      </c>
      <c r="L63" s="23">
        <f ca="1">IF(PAJAK[[#This Row],[//]]="","",SUMIF(NOTA[ID_H],PAJAK[[#This Row],[ID]],NOTA[DISC]))</f>
        <v>2524704</v>
      </c>
      <c r="M63" s="23">
        <f ca="1">PAJAK[[#This Row],[SUB TOTAL]]-PAJAK[[#This Row],[DISKON]]</f>
        <v>12326496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11104951.351351351</v>
      </c>
      <c r="P63" s="23">
        <f ca="1">PAJAK[[#This Row],[DPP]]*PAJAK[[#This Row],[PPN]]</f>
        <v>1221544.6486486485</v>
      </c>
      <c r="Q63" s="23">
        <f ca="1">PAJAK[[#This Row],[DPP]]+PAJAK[[#This Row],[PPN 11%]]</f>
        <v>12326496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503</v>
      </c>
      <c r="B64" s="15">
        <f ca="1">HYPERLINK("[NOTA_.XLSX]NOTA!c"&amp;PAJAK[[#This Row],[//]],IF(PAJAK[[#This Row],[//]]="","",INDEX(INDIRECT("NOTA["&amp;PAJAK[#Headers]&amp;"]"),PAJAK[[#This Row],[//]]-2)))</f>
        <v>100</v>
      </c>
      <c r="C64" s="15" t="str">
        <f ca="1">IF(PAJAK[[#This Row],[//]]="","",INDEX(INDIRECT("NOTA["&amp;PAJAK[#Headers]&amp;"]"),PAJAK[[#This Row],[//]]-2))</f>
        <v>KEN_2712_806-7</v>
      </c>
      <c r="D64" s="15">
        <f ca="1">MATCH(PAJAK[[#This Row],[ID]],[5]!Table1[ID],0)</f>
        <v>29</v>
      </c>
      <c r="E64" s="16">
        <f ca="1">IF(PAJAK[[#This Row],[ID]]="","",COUNTIF(NOTA[ID_H],PAJAK[[#This Row],[ID]]))</f>
        <v>7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45287</v>
      </c>
      <c r="H64" s="17">
        <f ca="1">IF(PAJAK[[#This Row],[//]]="","",INDEX(INDIRECT("NOTA["&amp;PAJAK[#Headers]&amp;"]"),PAJAK[[#This Row],[//]]-2))</f>
        <v>45282</v>
      </c>
      <c r="I64" s="16" t="str">
        <f ca="1">IF(PAJAK[[#This Row],[//]]="","",INDEX(INDIRECT("NOTA["&amp;PAJAK[#Headers]&amp;"]"),PAJAK[[#This Row],[//]]-2))</f>
        <v>23121806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20107600</v>
      </c>
      <c r="L64" s="23">
        <f ca="1">IF(PAJAK[[#This Row],[//]]="","",SUMIF(NOTA[ID_H],PAJAK[[#This Row],[ID]],NOTA[DISC]))</f>
        <v>3418292</v>
      </c>
      <c r="M64" s="23">
        <f ca="1">PAJAK[[#This Row],[SUB TOTAL]]-PAJAK[[#This Row],[DISKON]]</f>
        <v>16689308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15035412.612612611</v>
      </c>
      <c r="P64" s="23">
        <f ca="1">PAJAK[[#This Row],[DPP]]*PAJAK[[#This Row],[PPN]]</f>
        <v>1653895.3873873872</v>
      </c>
      <c r="Q64" s="23">
        <f ca="1">PAJAK[[#This Row],[DPP]]+PAJAK[[#This Row],[PPN 11%]]</f>
        <v>16689307.999999998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511</v>
      </c>
      <c r="B65" s="21">
        <f ca="1">HYPERLINK("[NOTA_.XLSX]NOTA!c"&amp;PAJAK[[#This Row],[//]],IF(PAJAK[[#This Row],[//]]="","",INDEX(INDIRECT("NOTA["&amp;PAJAK[#Headers]&amp;"]"),PAJAK[[#This Row],[//]]-2)))</f>
        <v>101</v>
      </c>
      <c r="C65" s="19" t="str">
        <f ca="1">IF(PAJAK[[#This Row],[//]]="","",INDEX(INDIRECT("NOTA["&amp;PAJAK[#Headers]&amp;"]"),PAJAK[[#This Row],[//]]-2))</f>
        <v>KEN_2712_764-2</v>
      </c>
      <c r="D65" s="19">
        <f ca="1">MATCH(PAJAK[[#This Row],[ID]],[5]!Table1[ID],0)</f>
        <v>28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KENKO SINAR INDONESIA</v>
      </c>
      <c r="G65" s="17">
        <f ca="1">IF(PAJAK[[#This Row],[//]]="","",INDEX(NOTA[TGL_H],PAJAK[[#This Row],[//]]-2))</f>
        <v>45287</v>
      </c>
      <c r="H65" s="17">
        <f ca="1">IF(PAJAK[[#This Row],[//]]="","",INDEX(INDIRECT("NOTA["&amp;PAJAK[#Headers]&amp;"]"),PAJAK[[#This Row],[//]]-2))</f>
        <v>45281</v>
      </c>
      <c r="I65" s="16">
        <f ca="1">IF(PAJAK[[#This Row],[//]]="","",INDEX(INDIRECT("NOTA["&amp;PAJAK[#Headers]&amp;"]"),PAJAK[[#This Row],[//]]-2))</f>
        <v>23121764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6472000</v>
      </c>
      <c r="L65" s="23">
        <f ca="1">IF(PAJAK[[#This Row],[//]]="","",SUMIF(NOTA[ID_H],PAJAK[[#This Row],[ID]],NOTA[DISC]))</f>
        <v>1100240</v>
      </c>
      <c r="M65" s="23">
        <f ca="1">PAJAK[[#This Row],[SUB TOTAL]]-PAJAK[[#This Row],[DISKON]]</f>
        <v>5371760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4839423.4234234234</v>
      </c>
      <c r="P65" s="23">
        <f ca="1">PAJAK[[#This Row],[DPP]]*PAJAK[[#This Row],[PPN]]</f>
        <v>532336.57657657657</v>
      </c>
      <c r="Q65" s="23">
        <f ca="1">PAJAK[[#This Row],[DPP]]+PAJAK[[#This Row],[PPN 11%]]</f>
        <v>5371760</v>
      </c>
      <c r="R65" s="18" t="str">
        <f ca="1">IF(ISNUMBER(PAJAK[[#This Row],[//]]),PPN,"")</f>
        <v>11%</v>
      </c>
    </row>
    <row r="66" spans="1:23" x14ac:dyDescent="0.25">
      <c r="A66" s="15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514</v>
      </c>
      <c r="B66" s="15">
        <f ca="1">HYPERLINK("[NOTA_.XLSX]NOTA!c"&amp;PAJAK[[#This Row],[//]],IF(PAJAK[[#This Row],[//]]="","",INDEX(INDIRECT("NOTA["&amp;PAJAK[#Headers]&amp;"]"),PAJAK[[#This Row],[//]]-2)))</f>
        <v>102</v>
      </c>
      <c r="C66" s="15" t="str">
        <f ca="1">IF(PAJAK[[#This Row],[//]]="","",INDEX(INDIRECT("NOTA["&amp;PAJAK[#Headers]&amp;"]"),PAJAK[[#This Row],[//]]-2))</f>
        <v>KEN_2712_739-3</v>
      </c>
      <c r="D66" s="15">
        <f ca="1">MATCH(PAJAK[[#This Row],[ID]],[5]!Table1[ID],0)</f>
        <v>27</v>
      </c>
      <c r="E66" s="16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45287</v>
      </c>
      <c r="H66" s="17">
        <f ca="1">IF(PAJAK[[#This Row],[//]]="","",INDEX(INDIRECT("NOTA["&amp;PAJAK[#Headers]&amp;"]"),PAJAK[[#This Row],[//]]-2))</f>
        <v>45281</v>
      </c>
      <c r="I66" s="16" t="str">
        <f ca="1">IF(PAJAK[[#This Row],[//]]="","",INDEX(INDIRECT("NOTA["&amp;PAJAK[#Headers]&amp;"]"),PAJAK[[#This Row],[//]]-2))</f>
        <v>23121739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36048000</v>
      </c>
      <c r="L66" s="23">
        <f ca="1">IF(PAJAK[[#This Row],[//]]="","",SUMIF(NOTA[ID_H],PAJAK[[#This Row],[ID]],NOTA[DISC]))</f>
        <v>6128160.0000000009</v>
      </c>
      <c r="M66" s="23">
        <f ca="1">PAJAK[[#This Row],[SUB TOTAL]]-PAJAK[[#This Row],[DISKON]]</f>
        <v>29919840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26954810.810810808</v>
      </c>
      <c r="P66" s="23">
        <f ca="1">PAJAK[[#This Row],[DPP]]*PAJAK[[#This Row],[PPN]]</f>
        <v>2965029.1891891891</v>
      </c>
      <c r="Q66" s="23">
        <f ca="1">PAJAK[[#This Row],[DPP]]+PAJAK[[#This Row],[PPN 11%]]</f>
        <v>29919839.999999996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524</v>
      </c>
      <c r="B67" s="21">
        <f ca="1">HYPERLINK("[NOTA_.XLSX]NOTA!c"&amp;PAJAK[[#This Row],[//]],IF(PAJAK[[#This Row],[//]]="","",INDEX(INDIRECT("NOTA["&amp;PAJAK[#Headers]&amp;"]"),PAJAK[[#This Row],[//]]-2)))</f>
        <v>106</v>
      </c>
      <c r="C67" s="19" t="str">
        <f ca="1">IF(PAJAK[[#This Row],[//]]="","",INDEX(INDIRECT("NOTA["&amp;PAJAK[#Headers]&amp;"]"),PAJAK[[#This Row],[//]]-2))</f>
        <v>KEN_3012_982-1</v>
      </c>
      <c r="D67" s="19">
        <f ca="1">MATCH(PAJAK[[#This Row],[ID]],[5]!Table1[ID],0)</f>
        <v>31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45290</v>
      </c>
      <c r="H67" s="17">
        <f ca="1">IF(PAJAK[[#This Row],[//]]="","",INDEX(INDIRECT("NOTA["&amp;PAJAK[#Headers]&amp;"]"),PAJAK[[#This Row],[//]]-2))</f>
        <v>45286</v>
      </c>
      <c r="I67" s="16" t="str">
        <f ca="1">IF(PAJAK[[#This Row],[//]]="","",INDEX(INDIRECT("NOTA["&amp;PAJAK[#Headers]&amp;"]"),PAJAK[[#This Row],[//]]-2))</f>
        <v>23121982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1440000</v>
      </c>
      <c r="L67" s="23">
        <f ca="1">IF(PAJAK[[#This Row],[//]]="","",SUMIF(NOTA[ID_H],PAJAK[[#This Row],[ID]],NOTA[DISC]))</f>
        <v>244800.00000000003</v>
      </c>
      <c r="M67" s="23">
        <f ca="1">PAJAK[[#This Row],[SUB TOTAL]]-PAJAK[[#This Row],[DISKON]]</f>
        <v>1195200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1076756.7567567567</v>
      </c>
      <c r="P67" s="23">
        <f ca="1">PAJAK[[#This Row],[DPP]]*PAJAK[[#This Row],[PPN]]</f>
        <v>118443.24324324324</v>
      </c>
      <c r="Q67" s="23">
        <f ca="1">PAJAK[[#This Row],[DPP]]+PAJAK[[#This Row],[PPN 11%]]</f>
        <v>1195200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526</v>
      </c>
      <c r="B68" s="15">
        <f ca="1">HYPERLINK("[NOTA_.XLSX]NOTA!c"&amp;PAJAK[[#This Row],[//]],IF(PAJAK[[#This Row],[//]]="","",INDEX(INDIRECT("NOTA["&amp;PAJAK[#Headers]&amp;"]"),PAJAK[[#This Row],[//]]-2)))</f>
        <v>107</v>
      </c>
      <c r="C68" s="15" t="str">
        <f ca="1">IF(PAJAK[[#This Row],[//]]="","",INDEX(INDIRECT("NOTA["&amp;PAJAK[#Headers]&amp;"]"),PAJAK[[#This Row],[//]]-2))</f>
        <v>RAP_0612_084-2</v>
      </c>
      <c r="D68" s="15">
        <f ca="1">MATCH(PAJAK[[#This Row],[ID]],[5]!Table1[ID],0)</f>
        <v>72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RAPINAN BROTHER</v>
      </c>
      <c r="G68" s="17">
        <f ca="1">IF(PAJAK[[#This Row],[//]]="","",INDEX(NOTA[TGL_H],PAJAK[[#This Row],[//]]-2))</f>
        <v>45266</v>
      </c>
      <c r="H68" s="17">
        <f ca="1">IF(PAJAK[[#This Row],[//]]="","",INDEX(INDIRECT("NOTA["&amp;PAJAK[#Headers]&amp;"]"),PAJAK[[#This Row],[//]]-2))</f>
        <v>45631</v>
      </c>
      <c r="I68" s="16" t="str">
        <f ca="1">IF(PAJAK[[#This Row],[//]]="","",INDEX(INDIRECT("NOTA["&amp;PAJAK[#Headers]&amp;"]"),PAJAK[[#This Row],[//]]-2))</f>
        <v>HMP/084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10176000</v>
      </c>
      <c r="L68" s="23">
        <f ca="1">IF(PAJAK[[#This Row],[//]]="","",SUMIF(NOTA[ID_H],PAJAK[[#This Row],[ID]],NOTA[DISC]))</f>
        <v>305280</v>
      </c>
      <c r="M68" s="23">
        <f ca="1">PAJAK[[#This Row],[SUB TOTAL]]-PAJAK[[#This Row],[DISKON]]</f>
        <v>9870720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8892540.5405405406</v>
      </c>
      <c r="P68" s="23">
        <f ca="1">PAJAK[[#This Row],[DPP]]*PAJAK[[#This Row],[PPN]]</f>
        <v>978179.45945945953</v>
      </c>
      <c r="Q68" s="23">
        <f ca="1">PAJAK[[#This Row],[DPP]]+PAJAK[[#This Row],[PPN 11%]]</f>
        <v>9870720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529</v>
      </c>
      <c r="B69" s="21">
        <f ca="1">HYPERLINK("[NOTA_.XLSX]NOTA!c"&amp;PAJAK[[#This Row],[//]],IF(PAJAK[[#This Row],[//]]="","",INDEX(INDIRECT("NOTA["&amp;PAJAK[#Headers]&amp;"]"),PAJAK[[#This Row],[//]]-2)))</f>
        <v>108</v>
      </c>
      <c r="C69" s="19" t="str">
        <f ca="1">IF(PAJAK[[#This Row],[//]]="","",INDEX(INDIRECT("NOTA["&amp;PAJAK[#Headers]&amp;"]"),PAJAK[[#This Row],[//]]-2))</f>
        <v>RAP_2312_089-1</v>
      </c>
      <c r="D69" s="19">
        <f ca="1">MATCH(PAJAK[[#This Row],[ID]],[5]!Table1[ID],0)</f>
        <v>74</v>
      </c>
      <c r="E69" s="20">
        <f ca="1">IF(PAJAK[[#This Row],[ID]]="","",COUNTIF(NOTA[ID_H],PAJAK[[#This Row],[ID]]))</f>
        <v>1</v>
      </c>
      <c r="F69" s="15" t="str">
        <f ca="1">IF(PAJAK[[#This Row],[//]]="","",INDEX(CONV[2],MATCH(INDEX(INDIRECT("NOTA["&amp;PAJAK[#Headers]&amp;"]"),PAJAK[[#This Row],[//]]-2),CONV[1],0),0))</f>
        <v>PT RAPINAN BROTHER</v>
      </c>
      <c r="G69" s="17">
        <f ca="1">IF(PAJAK[[#This Row],[//]]="","",INDEX(NOTA[TGL_H],PAJAK[[#This Row],[//]]-2))</f>
        <v>45283</v>
      </c>
      <c r="H69" s="17">
        <f ca="1">IF(PAJAK[[#This Row],[//]]="","",INDEX(INDIRECT("NOTA["&amp;PAJAK[#Headers]&amp;"]"),PAJAK[[#This Row],[//]]-2))</f>
        <v>45646</v>
      </c>
      <c r="I69" s="16" t="str">
        <f ca="1">IF(PAJAK[[#This Row],[//]]="","",INDEX(INDIRECT("NOTA["&amp;PAJAK[#Headers]&amp;"]"),PAJAK[[#This Row],[//]]-2))</f>
        <v>HMP/089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5088000</v>
      </c>
      <c r="L69" s="23">
        <f ca="1">IF(PAJAK[[#This Row],[//]]="","",SUMIF(NOTA[ID_H],PAJAK[[#This Row],[ID]],NOTA[DISC]))</f>
        <v>152640</v>
      </c>
      <c r="M69" s="23">
        <f ca="1">PAJAK[[#This Row],[SUB TOTAL]]-PAJAK[[#This Row],[DISKON]]</f>
        <v>4935360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4446270.2702702703</v>
      </c>
      <c r="P69" s="23">
        <f ca="1">PAJAK[[#This Row],[DPP]]*PAJAK[[#This Row],[PPN]]</f>
        <v>489089.72972972976</v>
      </c>
      <c r="Q69" s="23">
        <f ca="1">PAJAK[[#This Row],[DPP]]+PAJAK[[#This Row],[PPN 11%]]</f>
        <v>4935360</v>
      </c>
      <c r="R69" s="18" t="str">
        <f ca="1">IF(ISNUMBER(PAJAK[[#This Row],[//]]),PPN,"")</f>
        <v>11%</v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Row],[ID]],[5]!Table1[ID],0)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Row],[ID]],[5]!Table1[ID],0)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Row],[ID]],[5]!Table1[ID],0)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Row],[ID]],[5]!Table1[ID],0)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>
        <f ca="1">MATCH(PAJAK[[#This Row],[ID]],[5]!Table1[ID],0)</f>
        <v>1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Row],[ID]],[5]!Table1[ID],0)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>
        <f ca="1">MATCH(PAJAK[[#This Row],[ID]],[5]!Table1[ID],0)</f>
        <v>1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>
        <f ca="1">MATCH(PAJAK[[#This Row],[ID]],[5]!Table1[ID],0)</f>
        <v>1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Row],[ID]],[5]!Table1[ID],0)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>
        <f ca="1">MATCH(PAJAK[[#This Row],[ID]],[5]!Table1[ID],0)</f>
        <v>1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Row],[ID]],[5]!Table1[ID],0)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>
        <f ca="1">MATCH(PAJAK[[#This Row],[ID]],[5]!Table1[ID],0)</f>
        <v>1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Row],[ID]],[5]!Table1[ID],0)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>
        <f ca="1">MATCH(PAJAK[[#This Row],[ID]],[5]!Table1[ID],0)</f>
        <v>1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>
        <f ca="1">MATCH(PAJAK[[#This Row],[ID]],[5]!Table1[ID],0)</f>
        <v>1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>
        <f ca="1">MATCH(PAJAK[[#This Row],[ID]],[5]!Table1[ID],0)</f>
        <v>1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Row],[ID]],[5]!Table1[ID],0)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45</v>
      </c>
      <c r="C16" s="7">
        <f ca="1">HYPERLINK("[NOTA_.xlsx]PAJAK!b"&amp;KENKO[[#This Row],[//PAJAK]],IF(KENKO[[#This Row],[//PAJAK]]="","",INDEX(INDIRECT("PAJAK["&amp;KENKO[#Headers]&amp;"]"),KENKO[[#This Row],[//PAJAK]]-1)))</f>
        <v>73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45275</v>
      </c>
      <c r="F16" s="2">
        <f ca="1">IF(KENKO[[#This Row],[//PAJAK]]="","",INDEX(INDIRECT("PAJAK["&amp;KENKO[#Headers]&amp;"]"),KENKO[[#This Row],[//PAJAK]]-1))</f>
        <v>45272</v>
      </c>
      <c r="G16" s="9" t="str">
        <f ca="1">IF(KENKO[[#This Row],[//PAJAK]]="","",INDEX(INDIRECT("PAJAK["&amp;KENKO[#Headers]&amp;"]"),KENKO[[#This Row],[//PAJAK]]-1))</f>
        <v>23120703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179504400</v>
      </c>
      <c r="J16" s="1">
        <f ca="1">IF(KENKO[[#This Row],[//PAJAK]]="","",INDEX(INDIRECT("PAJAK["&amp;KENKO[#Headers]&amp;"]"),KENKO[[#This Row],[//PAJAK]]-1))</f>
        <v>37866576.600000001</v>
      </c>
      <c r="K16" s="1">
        <f ca="1">(KENKO[[#This Row],[SUB TOTAL]]-KENKO[[#This Row],[DISKON]])/1.11</f>
        <v>127601642.7027027</v>
      </c>
      <c r="L16" s="1">
        <f ca="1">KENKO[[#This Row],[DPP]]*11%</f>
        <v>14036180.697297297</v>
      </c>
      <c r="M16" s="1">
        <f ca="1">KENKO[[#This Row],[DPP]]+KENKO[[#This Row],[PPN (11%)]]</f>
        <v>141637823.40000001</v>
      </c>
      <c r="N16" s="1" t="str">
        <f ca="1">INDEX(PAJAK[ID_P],MATCH(KENKO[[#This Row],[ID]],PAJAK[ID],0))</f>
        <v>KEN_1512_703-10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46</v>
      </c>
      <c r="C17" s="12">
        <f ca="1">HYPERLINK("[NOTA_.xlsx]PAJAK!b"&amp;KENKO[[#This Row],[//PAJAK]],IF(KENKO[[#This Row],[//PAJAK]]="","",INDEX(INDIRECT("PAJAK["&amp;KENKO[#Headers]&amp;"]"),KENKO[[#This Row],[//PAJAK]]-1)))</f>
        <v>74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45275</v>
      </c>
      <c r="F17" s="2">
        <f ca="1">IF(KENKO[[#This Row],[//PAJAK]]="","",INDEX(INDIRECT("PAJAK["&amp;KENKO[#Headers]&amp;"]"),KENKO[[#This Row],[//PAJAK]]-1))</f>
        <v>45272</v>
      </c>
      <c r="G17" s="6" t="str">
        <f ca="1">IF(KENKO[[#This Row],[//PAJAK]]="","",INDEX(INDIRECT("PAJAK["&amp;KENKO[#Headers]&amp;"]"),KENKO[[#This Row],[//PAJAK]]-1))</f>
        <v>23120716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72550000</v>
      </c>
      <c r="J17" s="1">
        <f ca="1">IF(KENKO[[#This Row],[//PAJAK]]="","",INDEX(INDIRECT("PAJAK["&amp;KENKO[#Headers]&amp;"]"),KENKO[[#This Row],[//PAJAK]]-1))</f>
        <v>15296600</v>
      </c>
      <c r="K17" s="1">
        <f ca="1">(KENKO[[#This Row],[SUB TOTAL]]-KENKO[[#This Row],[DISKON]])/1.11</f>
        <v>51579639.639639638</v>
      </c>
      <c r="L17" s="1">
        <f ca="1">KENKO[[#This Row],[DPP]]*11%</f>
        <v>5673760.3603603607</v>
      </c>
      <c r="M17" s="1">
        <f ca="1">KENKO[[#This Row],[DPP]]+KENKO[[#This Row],[PPN (11%)]]</f>
        <v>57253400</v>
      </c>
      <c r="N17" s="1" t="str">
        <f ca="1">INDEX(PAJAK[ID_P],MATCH(KENKO[[#This Row],[ID]],PAJAK[ID],0))</f>
        <v>KEN_1512_716-3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366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47</v>
      </c>
      <c r="C18" s="7">
        <f ca="1">HYPERLINK("[NOTA_.xlsx]PAJAK!b"&amp;KENKO[[#This Row],[//PAJAK]],IF(KENKO[[#This Row],[//PAJAK]]="","",INDEX(INDIRECT("PAJAK["&amp;KENKO[#Headers]&amp;"]"),KENKO[[#This Row],[//PAJAK]]-1)))</f>
        <v>75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45275</v>
      </c>
      <c r="F18" s="2">
        <f ca="1">IF(KENKO[[#This Row],[//PAJAK]]="","",INDEX(INDIRECT("PAJAK["&amp;KENKO[#Headers]&amp;"]"),KENKO[[#This Row],[//PAJAK]]-1))</f>
        <v>45273</v>
      </c>
      <c r="G18" s="9" t="str">
        <f ca="1">IF(KENKO[[#This Row],[//PAJAK]]="","",INDEX(INDIRECT("PAJAK["&amp;KENKO[#Headers]&amp;"]"),KENKO[[#This Row],[//PAJAK]]-1))</f>
        <v>23120905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37409200</v>
      </c>
      <c r="J18" s="1">
        <f ca="1">IF(KENKO[[#This Row],[//PAJAK]]="","",INDEX(INDIRECT("PAJAK["&amp;KENKO[#Headers]&amp;"]"),KENKO[[#This Row],[//PAJAK]]-1))</f>
        <v>7454168</v>
      </c>
      <c r="K18" s="1">
        <f ca="1">(KENKO[[#This Row],[SUB TOTAL]]-KENKO[[#This Row],[DISKON]])/1.11</f>
        <v>26986515.315315314</v>
      </c>
      <c r="L18" s="1">
        <f ca="1">KENKO[[#This Row],[DPP]]*11%</f>
        <v>2968516.6846846845</v>
      </c>
      <c r="M18" s="1">
        <f ca="1">KENKO[[#This Row],[DPP]]+KENKO[[#This Row],[PPN (11%)]]</f>
        <v>29955032</v>
      </c>
      <c r="N18" s="1" t="str">
        <f ca="1">INDEX(PAJAK[ID_P],MATCH(KENKO[[#This Row],[ID]],PAJAK[ID],0))</f>
        <v>KEN_1512_905-7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48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45276</v>
      </c>
      <c r="F19" s="2">
        <f ca="1">IF(KENKO[[#This Row],[//PAJAK]]="","",INDEX(INDIRECT("PAJAK["&amp;KENKO[#Headers]&amp;"]"),KENKO[[#This Row],[//PAJAK]]-1))</f>
        <v>45274</v>
      </c>
      <c r="G19" s="6" t="str">
        <f ca="1">IF(KENKO[[#This Row],[//PAJAK]]="","",INDEX(INDIRECT("PAJAK["&amp;KENKO[#Headers]&amp;"]"),KENKO[[#This Row],[//PAJAK]]-1))</f>
        <v>23121057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8059200</v>
      </c>
      <c r="J19" s="1">
        <f ca="1">IF(KENKO[[#This Row],[//PAJAK]]="","",INDEX(INDIRECT("PAJAK["&amp;KENKO[#Headers]&amp;"]"),KENKO[[#This Row],[//PAJAK]]-1))</f>
        <v>1370064</v>
      </c>
      <c r="K19" s="1">
        <f ca="1">(KENKO[[#This Row],[SUB TOTAL]]-KENKO[[#This Row],[DISKON]])/1.11</f>
        <v>6026248.6486486485</v>
      </c>
      <c r="L19" s="1">
        <f ca="1">KENKO[[#This Row],[DPP]]*11%</f>
        <v>662887.35135135136</v>
      </c>
      <c r="M19" s="1">
        <f ca="1">KENKO[[#This Row],[DPP]]+KENKO[[#This Row],[PPN (11%)]]</f>
        <v>6689136</v>
      </c>
      <c r="N19" s="1" t="str">
        <f ca="1">INDEX(PAJAK[ID_P],MATCH(KENKO[[#This Row],[ID]],PAJAK[ID],0))</f>
        <v>KEN_1612_057-4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49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45276</v>
      </c>
      <c r="F20" s="2">
        <f ca="1">IF(KENKO[[#This Row],[//PAJAK]]="","",INDEX(INDIRECT("PAJAK["&amp;KENKO[#Headers]&amp;"]"),KENKO[[#This Row],[//PAJAK]]-1))</f>
        <v>45275</v>
      </c>
      <c r="G20" s="9" t="str">
        <f ca="1">IF(KENKO[[#This Row],[//PAJAK]]="","",INDEX(INDIRECT("PAJAK["&amp;KENKO[#Headers]&amp;"]"),KENKO[[#This Row],[//PAJAK]]-1))</f>
        <v>23121235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5609600</v>
      </c>
      <c r="J20" s="1">
        <f ca="1">IF(KENKO[[#This Row],[//PAJAK]]="","",INDEX(INDIRECT("PAJAK["&amp;KENKO[#Headers]&amp;"]"),KENKO[[#This Row],[//PAJAK]]-1))</f>
        <v>953632</v>
      </c>
      <c r="K20" s="1">
        <f ca="1">(KENKO[[#This Row],[SUB TOTAL]]-KENKO[[#This Row],[DISKON]])/1.11</f>
        <v>4194565.7657657657</v>
      </c>
      <c r="L20" s="1">
        <f ca="1">KENKO[[#This Row],[DPP]]*11%</f>
        <v>461402.2342342342</v>
      </c>
      <c r="M20" s="1">
        <f ca="1">KENKO[[#This Row],[DPP]]+KENKO[[#This Row],[PPN (11%)]]</f>
        <v>4655968</v>
      </c>
      <c r="N20" s="1" t="str">
        <f ca="1">INDEX(PAJAK[ID_P],MATCH(KENKO[[#This Row],[ID]],PAJAK[ID],0))</f>
        <v>KEN_1612_235-3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45276</v>
      </c>
      <c r="F21" s="2">
        <f ca="1">IF(KENKO[[#This Row],[//PAJAK]]="","",INDEX(INDIRECT("PAJAK["&amp;KENKO[#Headers]&amp;"]"),KENKO[[#This Row],[//PAJAK]]-1))</f>
        <v>45275</v>
      </c>
      <c r="G21" s="9" t="str">
        <f ca="1">IF(KENKO[[#This Row],[//PAJAK]]="","",INDEX(INDIRECT("PAJAK["&amp;KENKO[#Headers]&amp;"]"),KENKO[[#This Row],[//PAJAK]]-1))</f>
        <v>23121192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50592000</v>
      </c>
      <c r="J21" s="1">
        <f ca="1">IF(KENKO[[#This Row],[//PAJAK]]="","",INDEX(INDIRECT("PAJAK["&amp;KENKO[#Headers]&amp;"]"),KENKO[[#This Row],[//PAJAK]]-1))</f>
        <v>10700208</v>
      </c>
      <c r="K21" s="1">
        <f ca="1">(KENKO[[#This Row],[SUB TOTAL]]-KENKO[[#This Row],[DISKON]])/1.11</f>
        <v>35938551.351351351</v>
      </c>
      <c r="L21" s="1">
        <f ca="1">KENKO[[#This Row],[DPP]]*11%</f>
        <v>3953240.6486486485</v>
      </c>
      <c r="M21" s="1">
        <f ca="1">KENKO[[#This Row],[DPP]]+KENKO[[#This Row],[PPN (11%)]]</f>
        <v>39891792</v>
      </c>
      <c r="N21" s="1" t="str">
        <f ca="1">INDEX(PAJAK[ID_P],MATCH(KENKO[[#This Row],[ID]],PAJAK[ID],0))</f>
        <v>KEN_1612_192-3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387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51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45276</v>
      </c>
      <c r="F22" s="2">
        <f ca="1">IF(KENKO[[#This Row],[//PAJAK]]="","",INDEX(INDIRECT("PAJAK["&amp;KENKO[#Headers]&amp;"]"),KENKO[[#This Row],[//PAJAK]]-1))</f>
        <v>45275</v>
      </c>
      <c r="G22" s="9" t="str">
        <f ca="1">IF(KENKO[[#This Row],[//PAJAK]]="","",INDEX(INDIRECT("PAJAK["&amp;KENKO[#Headers]&amp;"]"),KENKO[[#This Row],[//PAJAK]]-1))</f>
        <v>23121185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86608000</v>
      </c>
      <c r="J22" s="1">
        <f ca="1">IF(KENKO[[#This Row],[//PAJAK]]="","",INDEX(INDIRECT("PAJAK["&amp;KENKO[#Headers]&amp;"]"),KENKO[[#This Row],[//PAJAK]]-1))</f>
        <v>18134062.399999999</v>
      </c>
      <c r="K22" s="1">
        <f ca="1">(KENKO[[#This Row],[SUB TOTAL]]-KENKO[[#This Row],[DISKON]])/1.11</f>
        <v>61688232.072072059</v>
      </c>
      <c r="L22" s="1">
        <f ca="1">KENKO[[#This Row],[DPP]]*11%</f>
        <v>6785705.5279279267</v>
      </c>
      <c r="M22" s="1">
        <f ca="1">KENKO[[#This Row],[DPP]]+KENKO[[#This Row],[PPN (11%)]]</f>
        <v>68473937.599999979</v>
      </c>
      <c r="N22" s="1" t="str">
        <f ca="1">INDEX(PAJAK[ID_P],MATCH(KENKO[[#This Row],[ID]],PAJAK[ID],0))</f>
        <v>KEN_1612_185-10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84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45283</v>
      </c>
      <c r="F23" s="2">
        <f ca="1">IF(KENKO[[#This Row],[//PAJAK]]="","",INDEX(INDIRECT("PAJAK["&amp;KENKO[#Headers]&amp;"]"),KENKO[[#This Row],[//PAJAK]]-1))</f>
        <v>45278</v>
      </c>
      <c r="G23" s="9" t="str">
        <f ca="1">IF(KENKO[[#This Row],[//PAJAK]]="","",INDEX(INDIRECT("PAJAK["&amp;KENKO[#Headers]&amp;"]"),KENKO[[#This Row],[//PAJAK]]-1))</f>
        <v>23121423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42336000</v>
      </c>
      <c r="J23" s="1">
        <f ca="1">IF(KENKO[[#This Row],[//PAJAK]]="","",INDEX(INDIRECT("PAJAK["&amp;KENKO[#Headers]&amp;"]"),KENKO[[#This Row],[//PAJAK]]-1))</f>
        <v>8954064</v>
      </c>
      <c r="K23" s="1">
        <f ca="1">(KENKO[[#This Row],[SUB TOTAL]]-KENKO[[#This Row],[DISKON]])/1.11</f>
        <v>30073816.216216214</v>
      </c>
      <c r="L23" s="1">
        <f ca="1">KENKO[[#This Row],[DPP]]*11%</f>
        <v>3308119.7837837837</v>
      </c>
      <c r="M23" s="1">
        <f ca="1">KENKO[[#This Row],[DPP]]+KENKO[[#This Row],[PPN (11%)]]</f>
        <v>33381935.999999996</v>
      </c>
      <c r="N23" s="1" t="str">
        <f ca="1">INDEX(PAJAK[ID_P],MATCH(KENKO[[#This Row],[ID]],PAJAK[ID],0))</f>
        <v>KEN_2312_423-4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434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85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45283</v>
      </c>
      <c r="F24" s="2">
        <f ca="1">IF(KENKO[[#This Row],[//PAJAK]]="","",INDEX(INDIRECT("PAJAK["&amp;KENKO[#Headers]&amp;"]"),KENKO[[#This Row],[//PAJAK]]-1))</f>
        <v>45278</v>
      </c>
      <c r="G24" s="9" t="str">
        <f ca="1">IF(KENKO[[#This Row],[//PAJAK]]="","",INDEX(INDIRECT("PAJAK["&amp;KENKO[#Headers]&amp;"]"),KENKO[[#This Row],[//PAJAK]]-1))</f>
        <v>23121453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10440000</v>
      </c>
      <c r="J24" s="1">
        <f ca="1">IF(KENKO[[#This Row],[//PAJAK]]="","",INDEX(INDIRECT("PAJAK["&amp;KENKO[#Headers]&amp;"]"),KENKO[[#This Row],[//PAJAK]]-1))</f>
        <v>2208060</v>
      </c>
      <c r="K24" s="1">
        <f ca="1">(KENKO[[#This Row],[SUB TOTAL]]-KENKO[[#This Row],[DISKON]])/1.11</f>
        <v>7416162.1621621614</v>
      </c>
      <c r="L24" s="1">
        <f ca="1">KENKO[[#This Row],[DPP]]*11%</f>
        <v>815777.83783783775</v>
      </c>
      <c r="M24" s="1">
        <f ca="1">KENKO[[#This Row],[DPP]]+KENKO[[#This Row],[PPN (11%)]]</f>
        <v>8231939.9999999991</v>
      </c>
      <c r="N24" s="1" t="str">
        <f ca="1">INDEX(PAJAK[ID_P],MATCH(KENKO[[#This Row],[ID]],PAJAK[ID],0))</f>
        <v>KEN_2312_453-1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436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58</v>
      </c>
      <c r="C25" s="7">
        <f ca="1">HYPERLINK("[NOTA_.xlsx]PAJAK!b"&amp;KENKO[[#This Row],[//PAJAK]],IF(KENKO[[#This Row],[//PAJAK]]="","",INDEX(INDIRECT("PAJAK["&amp;KENKO[#Headers]&amp;"]"),KENKO[[#This Row],[//PAJAK]]-1)))</f>
        <v>86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45283</v>
      </c>
      <c r="F25" s="2">
        <f ca="1">IF(KENKO[[#This Row],[//PAJAK]]="","",INDEX(INDIRECT("PAJAK["&amp;KENKO[#Headers]&amp;"]"),KENKO[[#This Row],[//PAJAK]]-1))</f>
        <v>45278</v>
      </c>
      <c r="G25" s="9" t="str">
        <f ca="1">IF(KENKO[[#This Row],[//PAJAK]]="","",INDEX(INDIRECT("PAJAK["&amp;KENKO[#Headers]&amp;"]"),KENKO[[#This Row],[//PAJAK]]-1))</f>
        <v>23121436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67392000</v>
      </c>
      <c r="J25" s="1">
        <f ca="1">IF(KENKO[[#This Row],[//PAJAK]]="","",INDEX(INDIRECT("PAJAK["&amp;KENKO[#Headers]&amp;"]"),KENKO[[#This Row],[//PAJAK]]-1))</f>
        <v>11456640</v>
      </c>
      <c r="K25" s="1">
        <f ca="1">(KENKO[[#This Row],[SUB TOTAL]]-KENKO[[#This Row],[DISKON]])/1.11</f>
        <v>50392216.216216214</v>
      </c>
      <c r="L25" s="1">
        <f ca="1">KENKO[[#This Row],[DPP]]*11%</f>
        <v>5543143.7837837832</v>
      </c>
      <c r="M25" s="1">
        <f ca="1">KENKO[[#This Row],[DPP]]+KENKO[[#This Row],[PPN (11%)]]</f>
        <v>55935360</v>
      </c>
      <c r="N25" s="1" t="str">
        <f ca="1">INDEX(PAJAK[ID_P],MATCH(KENKO[[#This Row],[ID]],PAJAK[ID],0))</f>
        <v>KEN_2312_436-2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59</v>
      </c>
      <c r="C26" s="7">
        <f ca="1">HYPERLINK("[NOTA_.xlsx]PAJAK!b"&amp;KENKO[[#This Row],[//PAJAK]],IF(KENKO[[#This Row],[//PAJAK]]="","",INDEX(INDIRECT("PAJAK["&amp;KENKO[#Headers]&amp;"]"),KENKO[[#This Row],[//PAJAK]]-1)))</f>
        <v>87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45283</v>
      </c>
      <c r="F26" s="2">
        <f ca="1">IF(KENKO[[#This Row],[//PAJAK]]="","",INDEX(INDIRECT("PAJAK["&amp;KENKO[#Headers]&amp;"]"),KENKO[[#This Row],[//PAJAK]]-1))</f>
        <v>45279</v>
      </c>
      <c r="G26" s="9" t="str">
        <f ca="1">IF(KENKO[[#This Row],[//PAJAK]]="","",INDEX(INDIRECT("PAJAK["&amp;KENKO[#Headers]&amp;"]"),KENKO[[#This Row],[//PAJAK]]-1))</f>
        <v>23121486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12096000</v>
      </c>
      <c r="J26" s="1">
        <f ca="1">IF(KENKO[[#This Row],[//PAJAK]]="","",INDEX(INDIRECT("PAJAK["&amp;KENKO[#Headers]&amp;"]"),KENKO[[#This Row],[//PAJAK]]-1))</f>
        <v>2217672</v>
      </c>
      <c r="K26" s="1">
        <f ca="1">(KENKO[[#This Row],[SUB TOTAL]]-KENKO[[#This Row],[DISKON]])/1.11</f>
        <v>8899394.5945945941</v>
      </c>
      <c r="L26" s="1">
        <f ca="1">KENKO[[#This Row],[DPP]]*11%</f>
        <v>978933.40540540533</v>
      </c>
      <c r="M26" s="1">
        <f ca="1">KENKO[[#This Row],[DPP]]+KENKO[[#This Row],[PPN (11%)]]</f>
        <v>9878328</v>
      </c>
      <c r="N26" s="1" t="str">
        <f ca="1">INDEX(PAJAK[ID_P],MATCH(KENKO[[#This Row],[ID]],PAJAK[ID],0))</f>
        <v>KEN_2312_486-3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443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88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45283</v>
      </c>
      <c r="F27" s="2">
        <f ca="1">IF(KENKO[[#This Row],[//PAJAK]]="","",INDEX(INDIRECT("PAJAK["&amp;KENKO[#Headers]&amp;"]"),KENKO[[#This Row],[//PAJAK]]-1))</f>
        <v>45280</v>
      </c>
      <c r="G27" s="9" t="str">
        <f ca="1">IF(KENKO[[#This Row],[//PAJAK]]="","",INDEX(INDIRECT("PAJAK["&amp;KENKO[#Headers]&amp;"]"),KENKO[[#This Row],[//PAJAK]]-1))</f>
        <v>23121647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4776000</v>
      </c>
      <c r="J27" s="1">
        <f ca="1">IF(KENKO[[#This Row],[//PAJAK]]="","",INDEX(INDIRECT("PAJAK["&amp;KENKO[#Headers]&amp;"]"),KENKO[[#This Row],[//PAJAK]]-1))</f>
        <v>811920</v>
      </c>
      <c r="K27" s="1">
        <f ca="1">(KENKO[[#This Row],[SUB TOTAL]]-KENKO[[#This Row],[DISKON]])/1.11</f>
        <v>3571243.2432432431</v>
      </c>
      <c r="L27" s="1">
        <f ca="1">KENKO[[#This Row],[DPP]]*11%</f>
        <v>392836.75675675675</v>
      </c>
      <c r="M27" s="1">
        <f ca="1">KENKO[[#This Row],[DPP]]+KENKO[[#This Row],[PPN (11%)]]</f>
        <v>3964080</v>
      </c>
      <c r="N27" s="1" t="str">
        <f ca="1">INDEX(PAJAK[ID_P],MATCH(KENKO[[#This Row],[ID]],PAJAK[ID],0))</f>
        <v>KEN_2312_647-3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63</v>
      </c>
      <c r="C28" s="7">
        <f ca="1">HYPERLINK("[NOTA_.xlsx]PAJAK!b"&amp;KENKO[[#This Row],[//PAJAK]],IF(KENKO[[#This Row],[//PAJAK]]="","",INDEX(INDIRECT("PAJAK["&amp;KENKO[#Headers]&amp;"]"),KENKO[[#This Row],[//PAJAK]]-1)))</f>
        <v>99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45287</v>
      </c>
      <c r="F28" s="2">
        <f ca="1">IF(KENKO[[#This Row],[//PAJAK]]="","",INDEX(INDIRECT("PAJAK["&amp;KENKO[#Headers]&amp;"]"),KENKO[[#This Row],[//PAJAK]]-1))</f>
        <v>45283</v>
      </c>
      <c r="G28" s="9">
        <f ca="1">IF(KENKO[[#This Row],[//PAJAK]]="","",INDEX(INDIRECT("PAJAK["&amp;KENKO[#Headers]&amp;"]"),KENKO[[#This Row],[//PAJAK]]-1))</f>
        <v>23121906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14851200</v>
      </c>
      <c r="J28" s="1">
        <f ca="1">IF(KENKO[[#This Row],[//PAJAK]]="","",INDEX(INDIRECT("PAJAK["&amp;KENKO[#Headers]&amp;"]"),KENKO[[#This Row],[//PAJAK]]-1))</f>
        <v>2524704</v>
      </c>
      <c r="K28" s="1">
        <f ca="1">(KENKO[[#This Row],[SUB TOTAL]]-KENKO[[#This Row],[DISKON]])/1.11</f>
        <v>11104951.351351351</v>
      </c>
      <c r="L28" s="1">
        <f ca="1">KENKO[[#This Row],[DPP]]*11%</f>
        <v>1221544.6486486485</v>
      </c>
      <c r="M28" s="1">
        <f ca="1">KENKO[[#This Row],[DPP]]+KENKO[[#This Row],[PPN (11%)]]</f>
        <v>12326496</v>
      </c>
      <c r="N28" s="1" t="str">
        <f ca="1">INDEX(PAJAK[ID_P],MATCH(KENKO[[#This Row],[ID]],PAJAK[ID],0))</f>
        <v>KEN_2712_906-5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503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64</v>
      </c>
      <c r="C29" s="7">
        <f ca="1">HYPERLINK("[NOTA_.xlsx]PAJAK!b"&amp;KENKO[[#This Row],[//PAJAK]],IF(KENKO[[#This Row],[//PAJAK]]="","",INDEX(INDIRECT("PAJAK["&amp;KENKO[#Headers]&amp;"]"),KENKO[[#This Row],[//PAJAK]]-1)))</f>
        <v>100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45287</v>
      </c>
      <c r="F29" s="2">
        <f ca="1">IF(KENKO[[#This Row],[//PAJAK]]="","",INDEX(INDIRECT("PAJAK["&amp;KENKO[#Headers]&amp;"]"),KENKO[[#This Row],[//PAJAK]]-1))</f>
        <v>45282</v>
      </c>
      <c r="G29" s="9" t="str">
        <f ca="1">IF(KENKO[[#This Row],[//PAJAK]]="","",INDEX(INDIRECT("PAJAK["&amp;KENKO[#Headers]&amp;"]"),KENKO[[#This Row],[//PAJAK]]-1))</f>
        <v>23121806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20107600</v>
      </c>
      <c r="J29" s="1">
        <f ca="1">IF(KENKO[[#This Row],[//PAJAK]]="","",INDEX(INDIRECT("PAJAK["&amp;KENKO[#Headers]&amp;"]"),KENKO[[#This Row],[//PAJAK]]-1))</f>
        <v>3418292</v>
      </c>
      <c r="K29" s="1">
        <f ca="1">(KENKO[[#This Row],[SUB TOTAL]]-KENKO[[#This Row],[DISKON]])/1.11</f>
        <v>15035412.612612611</v>
      </c>
      <c r="L29" s="1">
        <f ca="1">KENKO[[#This Row],[DPP]]*11%</f>
        <v>1653895.3873873872</v>
      </c>
      <c r="M29" s="1">
        <f ca="1">KENKO[[#This Row],[DPP]]+KENKO[[#This Row],[PPN (11%)]]</f>
        <v>16689307.999999998</v>
      </c>
      <c r="N29" s="1" t="str">
        <f ca="1">INDEX(PAJAK[ID_P],MATCH(KENKO[[#This Row],[ID]],PAJAK[ID],0))</f>
        <v>KEN_2712_806-7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65</v>
      </c>
      <c r="C30" s="7">
        <f ca="1">HYPERLINK("[NOTA_.xlsx]PAJAK!b"&amp;KENKO[[#This Row],[//PAJAK]],IF(KENKO[[#This Row],[//PAJAK]]="","",INDEX(INDIRECT("PAJAK["&amp;KENKO[#Headers]&amp;"]"),KENKO[[#This Row],[//PAJAK]]-1)))</f>
        <v>101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45287</v>
      </c>
      <c r="F30" s="2">
        <f ca="1">IF(KENKO[[#This Row],[//PAJAK]]="","",INDEX(INDIRECT("PAJAK["&amp;KENKO[#Headers]&amp;"]"),KENKO[[#This Row],[//PAJAK]]-1))</f>
        <v>45281</v>
      </c>
      <c r="G30" s="9">
        <f ca="1">IF(KENKO[[#This Row],[//PAJAK]]="","",INDEX(INDIRECT("PAJAK["&amp;KENKO[#Headers]&amp;"]"),KENKO[[#This Row],[//PAJAK]]-1))</f>
        <v>23121764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6472000</v>
      </c>
      <c r="J30" s="1">
        <f ca="1">IF(KENKO[[#This Row],[//PAJAK]]="","",INDEX(INDIRECT("PAJAK["&amp;KENKO[#Headers]&amp;"]"),KENKO[[#This Row],[//PAJAK]]-1))</f>
        <v>1100240</v>
      </c>
      <c r="K30" s="1">
        <f ca="1">(KENKO[[#This Row],[SUB TOTAL]]-KENKO[[#This Row],[DISKON]])/1.11</f>
        <v>4839423.4234234234</v>
      </c>
      <c r="L30" s="1">
        <f ca="1">KENKO[[#This Row],[DPP]]*11%</f>
        <v>532336.57657657657</v>
      </c>
      <c r="M30" s="1">
        <f ca="1">KENKO[[#This Row],[DPP]]+KENKO[[#This Row],[PPN (11%)]]</f>
        <v>5371760</v>
      </c>
      <c r="N30" s="1" t="str">
        <f ca="1">INDEX(PAJAK[ID_P],MATCH(KENKO[[#This Row],[ID]],PAJAK[ID],0))</f>
        <v>KEN_2712_764-2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514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66</v>
      </c>
      <c r="C31" s="7">
        <f ca="1">HYPERLINK("[NOTA_.xlsx]PAJAK!b"&amp;KENKO[[#This Row],[//PAJAK]],IF(KENKO[[#This Row],[//PAJAK]]="","",INDEX(INDIRECT("PAJAK["&amp;KENKO[#Headers]&amp;"]"),KENKO[[#This Row],[//PAJAK]]-1)))</f>
        <v>102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45287</v>
      </c>
      <c r="F31" s="2">
        <f ca="1">IF(KENKO[[#This Row],[//PAJAK]]="","",INDEX(INDIRECT("PAJAK["&amp;KENKO[#Headers]&amp;"]"),KENKO[[#This Row],[//PAJAK]]-1))</f>
        <v>45281</v>
      </c>
      <c r="G31" s="9" t="str">
        <f ca="1">IF(KENKO[[#This Row],[//PAJAK]]="","",INDEX(INDIRECT("PAJAK["&amp;KENKO[#Headers]&amp;"]"),KENKO[[#This Row],[//PAJAK]]-1))</f>
        <v>23121739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36048000</v>
      </c>
      <c r="J31" s="1">
        <f ca="1">IF(KENKO[[#This Row],[//PAJAK]]="","",INDEX(INDIRECT("PAJAK["&amp;KENKO[#Headers]&amp;"]"),KENKO[[#This Row],[//PAJAK]]-1))</f>
        <v>6128160.0000000009</v>
      </c>
      <c r="K31" s="1">
        <f ca="1">(KENKO[[#This Row],[SUB TOTAL]]-KENKO[[#This Row],[DISKON]])/1.11</f>
        <v>26954810.810810808</v>
      </c>
      <c r="L31" s="1">
        <f ca="1">KENKO[[#This Row],[DPP]]*11%</f>
        <v>2965029.1891891891</v>
      </c>
      <c r="M31" s="1">
        <f ca="1">KENKO[[#This Row],[DPP]]+KENKO[[#This Row],[PPN (11%)]]</f>
        <v>29919839.999999996</v>
      </c>
      <c r="N31" s="1" t="str">
        <f ca="1">INDEX(PAJAK[ID_P],MATCH(KENKO[[#This Row],[ID]],PAJAK[ID],0))</f>
        <v>KEN_2712_739-3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524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67</v>
      </c>
      <c r="C32" s="7">
        <f ca="1">HYPERLINK("[NOTA_.xlsx]PAJAK!b"&amp;KENKO[[#This Row],[//PAJAK]],IF(KENKO[[#This Row],[//PAJAK]]="","",INDEX(INDIRECT("PAJAK["&amp;KENKO[#Headers]&amp;"]"),KENKO[[#This Row],[//PAJAK]]-1)))</f>
        <v>106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45290</v>
      </c>
      <c r="F32" s="2">
        <f ca="1">IF(KENKO[[#This Row],[//PAJAK]]="","",INDEX(INDIRECT("PAJAK["&amp;KENKO[#Headers]&amp;"]"),KENKO[[#This Row],[//PAJAK]]-1))</f>
        <v>45286</v>
      </c>
      <c r="G32" s="9" t="str">
        <f ca="1">IF(KENKO[[#This Row],[//PAJAK]]="","",INDEX(INDIRECT("PAJAK["&amp;KENKO[#Headers]&amp;"]"),KENKO[[#This Row],[//PAJAK]]-1))</f>
        <v>23121982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1440000</v>
      </c>
      <c r="J32" s="1">
        <f ca="1">IF(KENKO[[#This Row],[//PAJAK]]="","",INDEX(INDIRECT("PAJAK["&amp;KENKO[#Headers]&amp;"]"),KENKO[[#This Row],[//PAJAK]]-1))</f>
        <v>244800.00000000003</v>
      </c>
      <c r="K32" s="1">
        <f ca="1">(KENKO[[#This Row],[SUB TOTAL]]-KENKO[[#This Row],[DISKON]])/1.11</f>
        <v>1076756.7567567567</v>
      </c>
      <c r="L32" s="1">
        <f ca="1">KENKO[[#This Row],[DPP]]*11%</f>
        <v>118443.24324324324</v>
      </c>
      <c r="M32" s="1">
        <f ca="1">KENKO[[#This Row],[DPP]]+KENKO[[#This Row],[PPN (11%)]]</f>
        <v>1195200</v>
      </c>
      <c r="N32" s="1" t="str">
        <f ca="1">INDEX(PAJAK[ID_P],MATCH(KENKO[[#This Row],[ID]],PAJAK[ID],0))</f>
        <v>KEN_3012_982-1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398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HYPERLINK("[NOTA_.xlsx]PAJAK!b"&amp;KALINDO[[#This Row],[//PAJAK]],IF(KALINDO[[#This Row],[//PAJAK]]="","",INDEX(INDIRECT("PAJAK["&amp;KALINDO[#Headers]&amp;"]"),KALINDO[[#This Row],[//PAJAK]]-1)))</f>
        <v>80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45276</v>
      </c>
      <c r="F3" s="2">
        <f ca="1">IF(KALINDO[[#This Row],[//PAJAK]]="","",INDEX(INDIRECT("PAJAK["&amp;KALINDO[#Headers]&amp;"]"),KALINDO[[#This Row],[//PAJAK]]-1))</f>
        <v>45273</v>
      </c>
      <c r="G3" s="7" t="str">
        <f ca="1">IF(KALINDO[[#This Row],[//PAJAK]]="","",INDEX(INDIRECT("PAJAK["&amp;KALINDO[#Headers]&amp;"]"),KALINDO[[#This Row],[//PAJAK]]-1))</f>
        <v>SN23122992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29484000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26562162.162162159</v>
      </c>
      <c r="L3" s="1">
        <f ca="1">KALINDO[[#This Row],[DPP]]*11%</f>
        <v>2921837.8378378376</v>
      </c>
      <c r="M3" s="1">
        <f ca="1">KALINDO[[#This Row],[DPP]]+KALINDO[[#This Row],[PPN (11%)]]</f>
        <v>29483999.999999996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45273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45273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45273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45273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45273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45273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45273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35</v>
      </c>
      <c r="C16" s="12">
        <f ca="1">HYPERLINK("[NOTA_.xlsx]PAJAK!b"&amp;ATALI[[#This Row],[//PAJAK]],IF(ATALI[[#This Row],[//PAJAK]]="","",INDEX(INDIRECT("PAJAK["&amp;ATALI[#Headers]&amp;"]"),ATALI[[#This Row],[//PAJAK]]-1)))</f>
        <v>61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45278</v>
      </c>
      <c r="F16" s="2">
        <f ca="1">IF(ATALI[[#This Row],[//PAJAK]]="","",INDEX(INDIRECT("PAJAK["&amp;ATALI[#Headers]&amp;"]"),ATALI[[#This Row],[//PAJAK]]-1))</f>
        <v>45274</v>
      </c>
      <c r="G16" s="5" t="str">
        <f ca="1">IF(ATALI[[#This Row],[//PAJAK]]="","",INDEX(INDIRECT("PAJAK["&amp;ATALI[#Headers]&amp;"]"),ATALI[[#This Row],[//PAJAK]]-1))</f>
        <v>SA231221809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1288437.5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1160754.5045045044</v>
      </c>
      <c r="L16" s="1">
        <f ca="1">ATALI[[#This Row],[DPP]]*11%</f>
        <v>127682.99549549549</v>
      </c>
      <c r="M16" s="1">
        <f ca="1">ATALI[[#This Row],[DPP]]+ATALI[[#This Row],[PPN (11%)]]</f>
        <v>1288437.4999999998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45275</v>
      </c>
      <c r="F17" s="2">
        <f ca="1">IF(ATALI[[#This Row],[//PAJAK]]="","",INDEX(INDIRECT("PAJAK["&amp;ATALI[#Headers]&amp;"]"),ATALI[[#This Row],[//PAJAK]]-1))</f>
        <v>45271</v>
      </c>
      <c r="G17" s="5" t="str">
        <f ca="1">IF(ATALI[[#This Row],[//PAJAK]]="","",INDEX(INDIRECT("PAJAK["&amp;ATALI[#Headers]&amp;"]"),ATALI[[#This Row],[//PAJAK]]-1))</f>
        <v>SA231221640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9579150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8629864.8648648635</v>
      </c>
      <c r="L17" s="1">
        <f ca="1">ATALI[[#This Row],[DPP]]*11%</f>
        <v>949285.13513513503</v>
      </c>
      <c r="M17" s="1">
        <f ca="1">ATALI[[#This Row],[DPP]]+ATALI[[#This Row],[PPN (11%)]]</f>
        <v>9579149.9999999981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272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37</v>
      </c>
      <c r="C18" s="12">
        <f ca="1">HYPERLINK("[NOTA_.xlsx]PAJAK!b"&amp;ATALI[[#This Row],[//PAJAK]],IF(ATALI[[#This Row],[//PAJAK]]="","",INDEX(INDIRECT("PAJAK["&amp;ATALI[#Headers]&amp;"]"),ATALI[[#This Row],[//PAJAK]]-1)))</f>
        <v>63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45275</v>
      </c>
      <c r="F18" s="2">
        <f ca="1">IF(ATALI[[#This Row],[//PAJAK]]="","",INDEX(INDIRECT("PAJAK["&amp;ATALI[#Headers]&amp;"]"),ATALI[[#This Row],[//PAJAK]]-1))</f>
        <v>45271</v>
      </c>
      <c r="G18" s="7" t="str">
        <f ca="1">IF(ATALI[[#This Row],[//PAJAK]]="","",INDEX(INDIRECT("PAJAK["&amp;ATALI[#Headers]&amp;"]"),ATALI[[#This Row],[//PAJAK]]-1))</f>
        <v>SA231221567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3631232.5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3271380.6306306305</v>
      </c>
      <c r="L18" s="1">
        <f ca="1">ATALI[[#This Row],[DPP]]*11%</f>
        <v>359851.86936936935</v>
      </c>
      <c r="M18" s="1">
        <f ca="1">ATALI[[#This Row],[DPP]]+ATALI[[#This Row],[PPN (11%)]]</f>
        <v>3631232.5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280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HYPERLINK("[NOTA_.xlsx]PAJAK!b"&amp;ATALI[[#This Row],[//PAJAK]],IF(ATALI[[#This Row],[//PAJAK]]="","",INDEX(INDIRECT("PAJAK["&amp;ATALI[#Headers]&amp;"]"),ATALI[[#This Row],[//PAJAK]]-1)))</f>
        <v>64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45275</v>
      </c>
      <c r="F19" s="2">
        <f ca="1">IF(ATALI[[#This Row],[//PAJAK]]="","",INDEX(INDIRECT("PAJAK["&amp;ATALI[#Headers]&amp;"]"),ATALI[[#This Row],[//PAJAK]]-1))</f>
        <v>45271</v>
      </c>
      <c r="G19" s="7" t="str">
        <f ca="1">IF(ATALI[[#This Row],[//PAJAK]]="","",INDEX(INDIRECT("PAJAK["&amp;ATALI[#Headers]&amp;"]"),ATALI[[#This Row],[//PAJAK]]-1))</f>
        <v>SA231221566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31285590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28185216.216216214</v>
      </c>
      <c r="L19" s="1">
        <f ca="1">ATALI[[#This Row],[DPP]]*11%</f>
        <v>3100373.7837837837</v>
      </c>
      <c r="M19" s="1">
        <f ca="1">ATALI[[#This Row],[DPP]]+ATALI[[#This Row],[PPN (11%)]]</f>
        <v>31285589.999999996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292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39</v>
      </c>
      <c r="C20" s="12">
        <f ca="1">HYPERLINK("[NOTA_.xlsx]PAJAK!b"&amp;ATALI[[#This Row],[//PAJAK]],IF(ATALI[[#This Row],[//PAJAK]]="","",INDEX(INDIRECT("PAJAK["&amp;ATALI[#Headers]&amp;"]"),ATALI[[#This Row],[//PAJAK]]-1)))</f>
        <v>65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45275</v>
      </c>
      <c r="F20" s="2">
        <f ca="1">IF(ATALI[[#This Row],[//PAJAK]]="","",INDEX(INDIRECT("PAJAK["&amp;ATALI[#Headers]&amp;"]"),ATALI[[#This Row],[//PAJAK]]-1))</f>
        <v>45271</v>
      </c>
      <c r="G20" s="7" t="str">
        <f ca="1">IF(ATALI[[#This Row],[//PAJAK]]="","",INDEX(INDIRECT("PAJAK["&amp;ATALI[#Headers]&amp;"]"),ATALI[[#This Row],[//PAJAK]]-1))</f>
        <v>SA231221565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55756162.875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50230777.364864863</v>
      </c>
      <c r="L20" s="1">
        <f ca="1">ATALI[[#This Row],[DPP]]*11%</f>
        <v>5525385.5101351347</v>
      </c>
      <c r="M20" s="1">
        <f ca="1">ATALI[[#This Row],[DPP]]+ATALI[[#This Row],[PPN (11%)]]</f>
        <v>55756162.875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304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40</v>
      </c>
      <c r="C21" s="12">
        <f ca="1">HYPERLINK("[NOTA_.xlsx]PAJAK!b"&amp;ATALI[[#This Row],[//PAJAK]],IF(ATALI[[#This Row],[//PAJAK]]="","",INDEX(INDIRECT("PAJAK["&amp;ATALI[#Headers]&amp;"]"),ATALI[[#This Row],[//PAJAK]]-1)))</f>
        <v>66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45273</v>
      </c>
      <c r="F21" s="2">
        <f ca="1">IF(ATALI[[#This Row],[//PAJAK]]="","",INDEX(INDIRECT("PAJAK["&amp;ATALI[#Headers]&amp;"]"),ATALI[[#This Row],[//PAJAK]]-1))</f>
        <v>45268</v>
      </c>
      <c r="G21" s="7" t="str">
        <f ca="1">IF(ATALI[[#This Row],[//PAJAK]]="","",INDEX(INDIRECT("PAJAK["&amp;ATALI[#Headers]&amp;"]"),ATALI[[#This Row],[//PAJAK]]-1))</f>
        <v>SA231221304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12969337.5</v>
      </c>
      <c r="J21" s="1">
        <f ca="1">IF(ATALI[[#This Row],[//PAJAK]]="","",INDEX(PAJAK[DISC DLL],ATALI[[#This Row],[//PAJAK]]-1))</f>
        <v>403987.5</v>
      </c>
      <c r="K21" s="1">
        <f ca="1">(ATALI[[#This Row],[SUB TOTAL]]-ATALI[[#This Row],[DISKON]])/1.11</f>
        <v>11320135.135135135</v>
      </c>
      <c r="L21" s="1">
        <f ca="1">ATALI[[#This Row],[DPP]]*11%</f>
        <v>1245214.8648648649</v>
      </c>
      <c r="M21" s="1">
        <f ca="1">ATALI[[#This Row],[DPP]]+ATALI[[#This Row],[PPN (11%)]]</f>
        <v>12565350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314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41</v>
      </c>
      <c r="C22" s="12">
        <f ca="1">HYPERLINK("[NOTA_.xlsx]PAJAK!b"&amp;ATALI[[#This Row],[//PAJAK]],IF(ATALI[[#This Row],[//PAJAK]]="","",INDEX(INDIRECT("PAJAK["&amp;ATALI[#Headers]&amp;"]"),ATALI[[#This Row],[//PAJAK]]-1)))</f>
        <v>67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45275</v>
      </c>
      <c r="F22" s="2">
        <f ca="1">IF(ATALI[[#This Row],[//PAJAK]]="","",INDEX(INDIRECT("PAJAK["&amp;ATALI[#Headers]&amp;"]"),ATALI[[#This Row],[//PAJAK]]-1))</f>
        <v>45269</v>
      </c>
      <c r="G22" s="7" t="str">
        <f ca="1">IF(ATALI[[#This Row],[//PAJAK]]="","",INDEX(INDIRECT("PAJAK["&amp;ATALI[#Headers]&amp;"]"),ATALI[[#This Row],[//PAJAK]]-1))</f>
        <v>SA231221478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45213000</v>
      </c>
      <c r="J22" s="1">
        <f ca="1">IF(ATALI[[#This Row],[//PAJAK]]="","",INDEX(PAJAK[DISC DLL],ATALI[[#This Row],[//PAJAK]]-1))</f>
        <v>1605975</v>
      </c>
      <c r="K22" s="1">
        <f ca="1">(ATALI[[#This Row],[SUB TOTAL]]-ATALI[[#This Row],[DISKON]])/1.11</f>
        <v>39285608.108108103</v>
      </c>
      <c r="L22" s="1">
        <f ca="1">ATALI[[#This Row],[DPP]]*11%</f>
        <v>4321416.8918918911</v>
      </c>
      <c r="M22" s="1">
        <f ca="1">ATALI[[#This Row],[DPP]]+ATALI[[#This Row],[PPN (11%)]]</f>
        <v>43607024.999999993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320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42</v>
      </c>
      <c r="C23" s="12">
        <f ca="1">HYPERLINK("[NOTA_.xlsx]PAJAK!b"&amp;ATALI[[#This Row],[//PAJAK]],IF(ATALI[[#This Row],[//PAJAK]]="","",INDEX(INDIRECT("PAJAK["&amp;ATALI[#Headers]&amp;"]"),ATALI[[#This Row],[//PAJAK]]-1)))</f>
        <v>68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45275</v>
      </c>
      <c r="F23" s="2">
        <f ca="1">IF(ATALI[[#This Row],[//PAJAK]]="","",INDEX(INDIRECT("PAJAK["&amp;ATALI[#Headers]&amp;"]"),ATALI[[#This Row],[//PAJAK]]-1))</f>
        <v>45272</v>
      </c>
      <c r="G23" s="7" t="str">
        <f ca="1">IF(ATALI[[#This Row],[//PAJAK]]="","",INDEX(INDIRECT("PAJAK["&amp;ATALI[#Headers]&amp;"]"),ATALI[[#This Row],[//PAJAK]]-1))</f>
        <v>SA231221669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13797420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12430108.108108107</v>
      </c>
      <c r="L23" s="1">
        <f ca="1">ATALI[[#This Row],[DPP]]*11%</f>
        <v>1367311.8918918918</v>
      </c>
      <c r="M23" s="1">
        <f ca="1">ATALI[[#This Row],[DPP]]+ATALI[[#This Row],[PPN (11%)]]</f>
        <v>13797419.999999998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325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43</v>
      </c>
      <c r="C24" s="12">
        <f ca="1">HYPERLINK("[NOTA_.xlsx]PAJAK!b"&amp;ATALI[[#This Row],[//PAJAK]],IF(ATALI[[#This Row],[//PAJAK]]="","",INDEX(INDIRECT("PAJAK["&amp;ATALI[#Headers]&amp;"]"),ATALI[[#This Row],[//PAJAK]]-1)))</f>
        <v>69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45275</v>
      </c>
      <c r="F24" s="2">
        <f ca="1">IF(ATALI[[#This Row],[//PAJAK]]="","",INDEX(INDIRECT("PAJAK["&amp;ATALI[#Headers]&amp;"]"),ATALI[[#This Row],[//PAJAK]]-1))</f>
        <v>45271</v>
      </c>
      <c r="G24" s="7" t="str">
        <f ca="1">IF(ATALI[[#This Row],[//PAJAK]]="","",INDEX(INDIRECT("PAJAK["&amp;ATALI[#Headers]&amp;"]"),ATALI[[#This Row],[//PAJAK]]-1))</f>
        <v>SA231221568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16981125</v>
      </c>
      <c r="J24" s="1">
        <f ca="1">IF(ATALI[[#This Row],[//PAJAK]]="","",INDEX(PAJAK[DISC DLL],ATALI[[#This Row],[//PAJAK]]-1))</f>
        <v>636405</v>
      </c>
      <c r="K24" s="1">
        <f ca="1">(ATALI[[#This Row],[SUB TOTAL]]-ATALI[[#This Row],[DISKON]])/1.11</f>
        <v>14724972.972972972</v>
      </c>
      <c r="L24" s="1">
        <f ca="1">ATALI[[#This Row],[DPP]]*11%</f>
        <v>1619747.027027027</v>
      </c>
      <c r="M24" s="1">
        <f ca="1">ATALI[[#This Row],[DPP]]+ATALI[[#This Row],[PPN (11%)]]</f>
        <v>16344720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333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44</v>
      </c>
      <c r="C25" s="12">
        <f ca="1">HYPERLINK("[NOTA_.xlsx]PAJAK!b"&amp;ATALI[[#This Row],[//PAJAK]],IF(ATALI[[#This Row],[//PAJAK]]="","",INDEX(INDIRECT("PAJAK["&amp;ATALI[#Headers]&amp;"]"),ATALI[[#This Row],[//PAJAK]]-1)))</f>
        <v>70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45275</v>
      </c>
      <c r="F25" s="2">
        <f ca="1">IF(ATALI[[#This Row],[//PAJAK]]="","",INDEX(INDIRECT("PAJAK["&amp;ATALI[#Headers]&amp;"]"),ATALI[[#This Row],[//PAJAK]]-1))</f>
        <v>45271</v>
      </c>
      <c r="G25" s="7" t="str">
        <f ca="1">IF(ATALI[[#This Row],[//PAJAK]]="","",INDEX(INDIRECT("PAJAK["&amp;ATALI[#Headers]&amp;"]"),ATALI[[#This Row],[//PAJAK]]-1))</f>
        <v>SA231221641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26053125</v>
      </c>
      <c r="J25" s="1">
        <f ca="1">IF(ATALI[[#This Row],[//PAJAK]]="","",INDEX(PAJAK[DISC DLL],ATALI[[#This Row],[//PAJAK]]-1))</f>
        <v>780045</v>
      </c>
      <c r="K25" s="1">
        <f ca="1">(ATALI[[#This Row],[SUB TOTAL]]-ATALI[[#This Row],[DISKON]])/1.11</f>
        <v>22768540.540540539</v>
      </c>
      <c r="L25" s="1">
        <f ca="1">ATALI[[#This Row],[DPP]]*11%</f>
        <v>2504539.4594594594</v>
      </c>
      <c r="M25" s="1">
        <f ca="1">ATALI[[#This Row],[DPP]]+ATALI[[#This Row],[PPN (11%)]]</f>
        <v>25273080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406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53</v>
      </c>
      <c r="C26" s="12">
        <f ca="1">HYPERLINK("[NOTA_.xlsx]PAJAK!b"&amp;ATALI[[#This Row],[//PAJAK]],IF(ATALI[[#This Row],[//PAJAK]]="","",INDEX(INDIRECT("PAJAK["&amp;ATALI[#Headers]&amp;"]"),ATALI[[#This Row],[//PAJAK]]-1)))</f>
        <v>81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45276</v>
      </c>
      <c r="F26" s="2">
        <f ca="1">IF(ATALI[[#This Row],[//PAJAK]]="","",INDEX(INDIRECT("PAJAK["&amp;ATALI[#Headers]&amp;"]"),ATALI[[#This Row],[//PAJAK]]-1))</f>
        <v>45273</v>
      </c>
      <c r="G26" s="7" t="str">
        <f ca="1">IF(ATALI[[#This Row],[//PAJAK]]="","",INDEX(INDIRECT("PAJAK["&amp;ATALI[#Headers]&amp;"]"),ATALI[[#This Row],[//PAJAK]]-1))</f>
        <v>SA231221731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42337785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38142148.648648642</v>
      </c>
      <c r="L26" s="1">
        <f ca="1">ATALI[[#This Row],[DPP]]*11%</f>
        <v>4195636.3513513505</v>
      </c>
      <c r="M26" s="1">
        <f ca="1">ATALI[[#This Row],[DPP]]+ATALI[[#This Row],[PPN (11%)]]</f>
        <v>42337784.999999993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415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54</v>
      </c>
      <c r="C27" s="12">
        <f ca="1">HYPERLINK("[NOTA_.xlsx]PAJAK!b"&amp;ATALI[[#This Row],[//PAJAK]],IF(ATALI[[#This Row],[//PAJAK]]="","",INDEX(INDIRECT("PAJAK["&amp;ATALI[#Headers]&amp;"]"),ATALI[[#This Row],[//PAJAK]]-1)))</f>
        <v>82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45276</v>
      </c>
      <c r="F27" s="2">
        <f ca="1">IF(ATALI[[#This Row],[//PAJAK]]="","",INDEX(INDIRECT("PAJAK["&amp;ATALI[#Headers]&amp;"]"),ATALI[[#This Row],[//PAJAK]]-1))</f>
        <v>45273</v>
      </c>
      <c r="G27" s="7" t="str">
        <f ca="1">IF(ATALI[[#This Row],[//PAJAK]]="","",INDEX(INDIRECT("PAJAK["&amp;ATALI[#Headers]&amp;"]"),ATALI[[#This Row],[//PAJAK]]-1))</f>
        <v>SA231221786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20703375</v>
      </c>
      <c r="J27" s="1">
        <f ca="1">IF(ATALI[[#This Row],[//PAJAK]]="","",INDEX(PAJAK[DISC DLL],ATALI[[#This Row],[//PAJAK]]-1))</f>
        <v>688275</v>
      </c>
      <c r="K27" s="1">
        <f ca="1">(ATALI[[#This Row],[SUB TOTAL]]-ATALI[[#This Row],[DISKON]])/1.11</f>
        <v>18031621.62162162</v>
      </c>
      <c r="L27" s="1">
        <f ca="1">ATALI[[#This Row],[DPP]]*11%</f>
        <v>1983478.3783783782</v>
      </c>
      <c r="M27" s="1">
        <f ca="1">ATALI[[#This Row],[DPP]]+ATALI[[#This Row],[PPN (11%)]]</f>
        <v>20015100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419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55</v>
      </c>
      <c r="C28" s="12">
        <f ca="1">HYPERLINK("[NOTA_.xlsx]PAJAK!b"&amp;ATALI[[#This Row],[//PAJAK]],IF(ATALI[[#This Row],[//PAJAK]]="","",INDEX(INDIRECT("PAJAK["&amp;ATALI[#Headers]&amp;"]"),ATALI[[#This Row],[//PAJAK]]-1)))</f>
        <v>83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45276</v>
      </c>
      <c r="F28" s="2">
        <f ca="1">IF(ATALI[[#This Row],[//PAJAK]]="","",INDEX(INDIRECT("PAJAK["&amp;ATALI[#Headers]&amp;"]"),ATALI[[#This Row],[//PAJAK]]-1))</f>
        <v>45273</v>
      </c>
      <c r="G28" s="7" t="str">
        <f ca="1">IF(ATALI[[#This Row],[//PAJAK]]="","",INDEX(INDIRECT("PAJAK["&amp;ATALI[#Headers]&amp;"]"),ATALI[[#This Row],[//PAJAK]]-1))</f>
        <v>SA231221756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10551897</v>
      </c>
      <c r="J28" s="1">
        <f ca="1">IF(ATALI[[#This Row],[//PAJAK]]="","",INDEX(PAJAK[DISC DLL],ATALI[[#This Row],[//PAJAK]]-1))</f>
        <v>48222</v>
      </c>
      <c r="K28" s="1">
        <f ca="1">(ATALI[[#This Row],[SUB TOTAL]]-ATALI[[#This Row],[DISKON]])/1.11</f>
        <v>9462770.2702702694</v>
      </c>
      <c r="L28" s="1">
        <f ca="1">ATALI[[#This Row],[DPP]]*11%</f>
        <v>1040904.7297297296</v>
      </c>
      <c r="M28" s="1">
        <f ca="1">ATALI[[#This Row],[DPP]]+ATALI[[#This Row],[PPN (11%)]]</f>
        <v>10503674.999999998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447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89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45280</v>
      </c>
      <c r="F29" s="2">
        <f ca="1">IF(ATALI[[#This Row],[//PAJAK]]="","",INDEX(INDIRECT("PAJAK["&amp;ATALI[#Headers]&amp;"]"),ATALI[[#This Row],[//PAJAK]]-1))</f>
        <v>45276</v>
      </c>
      <c r="G29" s="7" t="str">
        <f ca="1">IF(ATALI[[#This Row],[//PAJAK]]="","",INDEX(INDIRECT("PAJAK["&amp;ATALI[#Headers]&amp;"]"),ATALI[[#This Row],[//PAJAK]]-1))</f>
        <v>SA231221921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6523650</v>
      </c>
      <c r="J29" s="1">
        <f ca="1">IF(ATALI[[#This Row],[//PAJAK]]="","",INDEX(PAJAK[DISC DLL],ATALI[[#This Row],[//PAJAK]]-1))</f>
        <v>91770</v>
      </c>
      <c r="K29" s="1">
        <f ca="1">(ATALI[[#This Row],[SUB TOTAL]]-ATALI[[#This Row],[DISKON]])/1.11</f>
        <v>5794486.4864864862</v>
      </c>
      <c r="L29" s="1">
        <f ca="1">ATALI[[#This Row],[DPP]]*11%</f>
        <v>637393.51351351349</v>
      </c>
      <c r="M29" s="1">
        <f ca="1">ATALI[[#This Row],[DPP]]+ATALI[[#This Row],[PPN (11%)]]</f>
        <v>6431880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451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90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45280</v>
      </c>
      <c r="F30" s="2">
        <f ca="1">IF(ATALI[[#This Row],[//PAJAK]]="","",INDEX(INDIRECT("PAJAK["&amp;ATALI[#Headers]&amp;"]"),ATALI[[#This Row],[//PAJAK]]-1))</f>
        <v>45278</v>
      </c>
      <c r="G30" s="7" t="str">
        <f ca="1">IF(ATALI[[#This Row],[//PAJAK]]="","",INDEX(INDIRECT("PAJAK["&amp;ATALI[#Headers]&amp;"]"),ATALI[[#This Row],[//PAJAK]]-1))</f>
        <v>SA231221965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4303215</v>
      </c>
      <c r="J30" s="1">
        <f ca="1">IF(ATALI[[#This Row],[//PAJAK]]="","",INDEX(PAJAK[DISC DLL],ATALI[[#This Row],[//PAJAK]]-1))</f>
        <v>137655</v>
      </c>
      <c r="K30" s="1">
        <f ca="1">(ATALI[[#This Row],[SUB TOTAL]]-ATALI[[#This Row],[DISKON]])/1.11</f>
        <v>3752756.7567567565</v>
      </c>
      <c r="L30" s="1">
        <f ca="1">ATALI[[#This Row],[DPP]]*11%</f>
        <v>412803.2432432432</v>
      </c>
      <c r="M30" s="1">
        <f ca="1">ATALI[[#This Row],[DPP]]+ATALI[[#This Row],[PPN (11%)]]</f>
        <v>4165559.9999999995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workbookViewId="0">
      <selection activeCell="F31" sqref="A31:F35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3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45273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45273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5250000</v>
      </c>
      <c r="J5" s="1">
        <f ca="1">IF(SAJ[[#This Row],[//PAJAK]]="","",INDEX(INDIRECT("PAJAK["&amp;SAJ[#Headers]&amp;"]"),SAJ[[#This Row],[//PAJAK]]-1))</f>
        <v>367500.00000000006</v>
      </c>
      <c r="K5" s="1">
        <f ca="1">(SAJ[[#This Row],[SUB TOTAL]]-SAJ[[#This Row],[DISKON]])/1.11</f>
        <v>4398648.6486486485</v>
      </c>
      <c r="L5" s="1">
        <f ca="1">SAJ[[#This Row],[DPP]]*11%</f>
        <v>483851.35135135136</v>
      </c>
      <c r="M5" s="1">
        <f ca="1">SAJ[[#This Row],[DPP]]+SAJ[[#This Row],[PPN (11%)]]</f>
        <v>4882500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2024-02-19T03:09:58Z</dcterms:modified>
</cp:coreProperties>
</file>