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J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78" i="1" l="1"/>
  <c r="S978" i="1" s="1"/>
  <c r="P978" i="1"/>
  <c r="R729" i="1"/>
  <c r="S729" i="1" s="1"/>
  <c r="P729" i="1"/>
  <c r="P89" i="1"/>
  <c r="R89" i="1"/>
  <c r="S89" i="1" s="1"/>
  <c r="P90" i="1"/>
  <c r="R90" i="1" s="1"/>
  <c r="S90" i="1" s="1"/>
  <c r="R23" i="1" l="1"/>
  <c r="S23" i="1" s="1"/>
  <c r="P23" i="1"/>
  <c r="R748" i="1" l="1"/>
  <c r="S748" i="1" s="1"/>
  <c r="P748" i="1"/>
  <c r="P773" i="1"/>
  <c r="R773" i="1"/>
  <c r="S773" i="1" s="1"/>
  <c r="R708" i="1"/>
  <c r="S708" i="1" s="1"/>
  <c r="P708" i="1"/>
  <c r="P420" i="1"/>
  <c r="R420" i="1"/>
  <c r="S420" i="1" s="1"/>
  <c r="P316" i="1"/>
  <c r="R316" i="1" s="1"/>
  <c r="S316" i="1" s="1"/>
  <c r="R230" i="1"/>
  <c r="S230" i="1" s="1"/>
  <c r="P230" i="1"/>
  <c r="R111" i="1" l="1"/>
  <c r="S111" i="1"/>
  <c r="P111" i="1"/>
  <c r="R80" i="1"/>
  <c r="S80" i="1" s="1"/>
  <c r="P80" i="1"/>
  <c r="P72" i="1"/>
  <c r="R72" i="1" s="1"/>
  <c r="S72" i="1" s="1"/>
  <c r="P68" i="1"/>
  <c r="R68" i="1" s="1"/>
  <c r="S68" i="1" s="1"/>
  <c r="C264" i="1" l="1"/>
  <c r="R264" i="1"/>
  <c r="S264" i="1" s="1"/>
  <c r="P264" i="1"/>
  <c r="R845" i="1" l="1"/>
  <c r="S845" i="1"/>
  <c r="P536" i="1" l="1"/>
  <c r="R536" i="1" s="1"/>
  <c r="S536" i="1" s="1"/>
  <c r="R194" i="1" l="1"/>
  <c r="S194" i="1"/>
  <c r="P194" i="1"/>
  <c r="R195" i="1"/>
  <c r="S195" i="1"/>
  <c r="P195" i="1"/>
  <c r="P601" i="1" l="1"/>
  <c r="R601" i="1"/>
  <c r="S601" i="1" s="1"/>
  <c r="P602" i="1"/>
  <c r="R602" i="1" s="1"/>
  <c r="S602" i="1" s="1"/>
  <c r="P603" i="1"/>
  <c r="R603" i="1" s="1"/>
  <c r="S603" i="1" s="1"/>
  <c r="P600" i="1"/>
  <c r="R600" i="1" s="1"/>
  <c r="S600" i="1" s="1"/>
  <c r="P756" i="1" l="1"/>
  <c r="J756" i="1"/>
  <c r="R756" i="1" s="1"/>
  <c r="S756" i="1" s="1"/>
  <c r="P669" i="1"/>
  <c r="R669" i="1"/>
  <c r="S669" i="1" s="1"/>
  <c r="J727" i="1"/>
  <c r="R727" i="1"/>
  <c r="S727" i="1" s="1"/>
  <c r="P727" i="1"/>
  <c r="R725" i="1"/>
  <c r="S725" i="1" s="1"/>
  <c r="P725" i="1"/>
  <c r="R832" i="1"/>
  <c r="S832" i="1" s="1"/>
  <c r="P832" i="1"/>
  <c r="P333" i="1"/>
  <c r="R333" i="1" s="1"/>
  <c r="S333" i="1" s="1"/>
  <c r="P331" i="1"/>
  <c r="R331" i="1" s="1"/>
  <c r="S331" i="1" s="1"/>
  <c r="J332" i="1"/>
  <c r="P332" i="1"/>
  <c r="P329" i="1"/>
  <c r="R329" i="1" s="1"/>
  <c r="S329" i="1" s="1"/>
  <c r="J330" i="1"/>
  <c r="P330" i="1"/>
  <c r="J165" i="1"/>
  <c r="P165" i="1"/>
  <c r="R165" i="1" s="1"/>
  <c r="S165" i="1" s="1"/>
  <c r="P163" i="1"/>
  <c r="R163" i="1" s="1"/>
  <c r="S163" i="1" s="1"/>
  <c r="P78" i="1"/>
  <c r="R78" i="1" s="1"/>
  <c r="S78" i="1" s="1"/>
  <c r="P79" i="1"/>
  <c r="R79" i="1" s="1"/>
  <c r="S79" i="1" s="1"/>
  <c r="P70" i="1"/>
  <c r="R70" i="1" s="1"/>
  <c r="S70" i="1" s="1"/>
  <c r="P66" i="1"/>
  <c r="R66" i="1" s="1"/>
  <c r="S66" i="1" s="1"/>
  <c r="P64" i="1"/>
  <c r="R64" i="1" s="1"/>
  <c r="S64" i="1" s="1"/>
  <c r="P52" i="1"/>
  <c r="R52" i="1" s="1"/>
  <c r="S52" i="1" s="1"/>
  <c r="P34" i="1"/>
  <c r="R34" i="1" s="1"/>
  <c r="S34" i="1" s="1"/>
  <c r="P508" i="1"/>
  <c r="R508" i="1" s="1"/>
  <c r="S508" i="1" s="1"/>
  <c r="P213" i="1"/>
  <c r="R213" i="1" s="1"/>
  <c r="S213" i="1" s="1"/>
  <c r="P214" i="1"/>
  <c r="R214" i="1" s="1"/>
  <c r="S214" i="1" s="1"/>
  <c r="J172" i="1"/>
  <c r="P172" i="1"/>
  <c r="P76" i="1"/>
  <c r="R76" i="1" s="1"/>
  <c r="S76" i="1" s="1"/>
  <c r="P75" i="1"/>
  <c r="R75" i="1" s="1"/>
  <c r="S75" i="1" s="1"/>
  <c r="P55" i="1"/>
  <c r="R55" i="1" s="1"/>
  <c r="S55" i="1" s="1"/>
  <c r="R330" i="1" l="1"/>
  <c r="S330" i="1" s="1"/>
  <c r="R332" i="1"/>
  <c r="S332" i="1" s="1"/>
  <c r="R172" i="1"/>
  <c r="S172" i="1" s="1"/>
  <c r="P474" i="1"/>
  <c r="J963" i="1"/>
  <c r="J962" i="1"/>
  <c r="P962" i="1"/>
  <c r="P1009" i="1"/>
  <c r="R1009" i="1" s="1"/>
  <c r="S1009" i="1" s="1"/>
  <c r="P1006" i="1"/>
  <c r="R1006" i="1" s="1"/>
  <c r="S1006" i="1" s="1"/>
  <c r="P1003" i="1"/>
  <c r="R1003" i="1" s="1"/>
  <c r="S1003" i="1" s="1"/>
  <c r="P1001" i="1"/>
  <c r="R1001" i="1" s="1"/>
  <c r="S1001" i="1" s="1"/>
  <c r="P999" i="1"/>
  <c r="J999" i="1"/>
  <c r="P998" i="1"/>
  <c r="J998" i="1"/>
  <c r="P997" i="1"/>
  <c r="J997" i="1"/>
  <c r="P996" i="1"/>
  <c r="J996" i="1"/>
  <c r="P995" i="1"/>
  <c r="R995" i="1" s="1"/>
  <c r="S995" i="1" s="1"/>
  <c r="P994" i="1"/>
  <c r="J994" i="1"/>
  <c r="P993" i="1"/>
  <c r="J993" i="1"/>
  <c r="P992" i="1"/>
  <c r="J992" i="1"/>
  <c r="P991" i="1"/>
  <c r="J991" i="1"/>
  <c r="P989" i="1"/>
  <c r="R989" i="1" s="1"/>
  <c r="S989" i="1" s="1"/>
  <c r="P988" i="1"/>
  <c r="R988" i="1" s="1"/>
  <c r="S988" i="1" s="1"/>
  <c r="P987" i="1"/>
  <c r="R987" i="1" s="1"/>
  <c r="S987" i="1" s="1"/>
  <c r="P986" i="1"/>
  <c r="R986" i="1" s="1"/>
  <c r="S986" i="1" s="1"/>
  <c r="P985" i="1"/>
  <c r="R985" i="1" s="1"/>
  <c r="S985" i="1" s="1"/>
  <c r="P984" i="1"/>
  <c r="R984" i="1" s="1"/>
  <c r="S984" i="1" s="1"/>
  <c r="P983" i="1"/>
  <c r="R983" i="1" s="1"/>
  <c r="S983" i="1" s="1"/>
  <c r="P982" i="1"/>
  <c r="R982" i="1" s="1"/>
  <c r="S982" i="1" s="1"/>
  <c r="P981" i="1"/>
  <c r="R981" i="1" s="1"/>
  <c r="S981" i="1" s="1"/>
  <c r="P980" i="1"/>
  <c r="R980" i="1" s="1"/>
  <c r="S980" i="1" s="1"/>
  <c r="P979" i="1"/>
  <c r="R979" i="1" s="1"/>
  <c r="S979" i="1" s="1"/>
  <c r="P977" i="1"/>
  <c r="R977" i="1" s="1"/>
  <c r="S977" i="1" s="1"/>
  <c r="P974" i="1"/>
  <c r="J974" i="1"/>
  <c r="P973" i="1"/>
  <c r="J973" i="1"/>
  <c r="P972" i="1"/>
  <c r="J972" i="1"/>
  <c r="P971" i="1"/>
  <c r="J971" i="1"/>
  <c r="P970" i="1"/>
  <c r="J970" i="1"/>
  <c r="P968" i="1"/>
  <c r="R968" i="1" s="1"/>
  <c r="S968" i="1" s="1"/>
  <c r="S967" i="1"/>
  <c r="P965" i="1"/>
  <c r="J965" i="1"/>
  <c r="P964" i="1"/>
  <c r="J964" i="1"/>
  <c r="P963" i="1"/>
  <c r="P959" i="1"/>
  <c r="R959" i="1" s="1"/>
  <c r="S959" i="1" s="1"/>
  <c r="S958" i="1"/>
  <c r="P956" i="1"/>
  <c r="R956" i="1" s="1"/>
  <c r="S956" i="1" s="1"/>
  <c r="P955" i="1"/>
  <c r="R955" i="1" s="1"/>
  <c r="S955" i="1" s="1"/>
  <c r="P954" i="1"/>
  <c r="J954" i="1"/>
  <c r="P953" i="1"/>
  <c r="J953" i="1"/>
  <c r="P951" i="1"/>
  <c r="R951" i="1" s="1"/>
  <c r="S951" i="1" s="1"/>
  <c r="P950" i="1"/>
  <c r="R950" i="1" s="1"/>
  <c r="S950" i="1" s="1"/>
  <c r="P948" i="1"/>
  <c r="R948" i="1" s="1"/>
  <c r="S948" i="1" s="1"/>
  <c r="P947" i="1"/>
  <c r="R947" i="1" s="1"/>
  <c r="S947" i="1" s="1"/>
  <c r="P946" i="1"/>
  <c r="R946" i="1" s="1"/>
  <c r="S946" i="1" s="1"/>
  <c r="P942" i="1"/>
  <c r="J942" i="1"/>
  <c r="P939" i="1"/>
  <c r="J939" i="1"/>
  <c r="P938" i="1"/>
  <c r="J938" i="1"/>
  <c r="P937" i="1"/>
  <c r="R937" i="1" s="1"/>
  <c r="S937" i="1" s="1"/>
  <c r="P936" i="1"/>
  <c r="R936" i="1" s="1"/>
  <c r="S936" i="1" s="1"/>
  <c r="J935" i="1"/>
  <c r="P935" i="1"/>
  <c r="J934" i="1"/>
  <c r="P934" i="1"/>
  <c r="P932" i="1"/>
  <c r="R932" i="1" s="1"/>
  <c r="S932" i="1" s="1"/>
  <c r="P931" i="1"/>
  <c r="R931" i="1" s="1"/>
  <c r="S931" i="1" s="1"/>
  <c r="P930" i="1"/>
  <c r="R930" i="1" s="1"/>
  <c r="S930" i="1" s="1"/>
  <c r="P929" i="1"/>
  <c r="R929" i="1" s="1"/>
  <c r="S929" i="1" s="1"/>
  <c r="P928" i="1"/>
  <c r="R928" i="1" s="1"/>
  <c r="S928" i="1" s="1"/>
  <c r="P926" i="1"/>
  <c r="R926" i="1" s="1"/>
  <c r="S926" i="1" s="1"/>
  <c r="P925" i="1"/>
  <c r="R925" i="1" s="1"/>
  <c r="S925" i="1" s="1"/>
  <c r="P924" i="1"/>
  <c r="R924" i="1" s="1"/>
  <c r="S924" i="1" s="1"/>
  <c r="P923" i="1"/>
  <c r="R923" i="1" s="1"/>
  <c r="S923" i="1" s="1"/>
  <c r="P922" i="1"/>
  <c r="R922" i="1" s="1"/>
  <c r="S922" i="1" s="1"/>
  <c r="P920" i="1"/>
  <c r="R920" i="1" s="1"/>
  <c r="S920" i="1" s="1"/>
  <c r="P917" i="1"/>
  <c r="R917" i="1" s="1"/>
  <c r="S917" i="1" s="1"/>
  <c r="P914" i="1"/>
  <c r="R914" i="1" s="1"/>
  <c r="S914" i="1" s="1"/>
  <c r="P913" i="1"/>
  <c r="R913" i="1" s="1"/>
  <c r="S913" i="1" s="1"/>
  <c r="P912" i="1"/>
  <c r="R912" i="1" s="1"/>
  <c r="S912" i="1" s="1"/>
  <c r="P910" i="1"/>
  <c r="J910" i="1"/>
  <c r="P909" i="1"/>
  <c r="J909" i="1"/>
  <c r="P908" i="1"/>
  <c r="J908" i="1"/>
  <c r="P906" i="1"/>
  <c r="R906" i="1" s="1"/>
  <c r="S906" i="1" s="1"/>
  <c r="P904" i="1"/>
  <c r="R904" i="1" s="1"/>
  <c r="S904" i="1" s="1"/>
  <c r="P903" i="1"/>
  <c r="R903" i="1" s="1"/>
  <c r="S903" i="1" s="1"/>
  <c r="P900" i="1"/>
  <c r="R900" i="1" s="1"/>
  <c r="S900" i="1" s="1"/>
  <c r="P898" i="1"/>
  <c r="R898" i="1" s="1"/>
  <c r="S898" i="1" s="1"/>
  <c r="P897" i="1"/>
  <c r="R897" i="1" s="1"/>
  <c r="S897" i="1" s="1"/>
  <c r="P896" i="1"/>
  <c r="R896" i="1" s="1"/>
  <c r="S896" i="1" s="1"/>
  <c r="P895" i="1"/>
  <c r="R895" i="1" s="1"/>
  <c r="S895" i="1" s="1"/>
  <c r="P894" i="1"/>
  <c r="R894" i="1" s="1"/>
  <c r="S894" i="1" s="1"/>
  <c r="P892" i="1"/>
  <c r="J892" i="1"/>
  <c r="P891" i="1"/>
  <c r="J891" i="1"/>
  <c r="J890" i="1"/>
  <c r="P890" i="1"/>
  <c r="P889" i="1"/>
  <c r="J889" i="1"/>
  <c r="P888" i="1"/>
  <c r="R888" i="1" s="1"/>
  <c r="S888" i="1" s="1"/>
  <c r="P887" i="1"/>
  <c r="J887" i="1"/>
  <c r="P886" i="1"/>
  <c r="J886" i="1"/>
  <c r="J885" i="1"/>
  <c r="P885" i="1"/>
  <c r="P884" i="1"/>
  <c r="J884" i="1"/>
  <c r="P883" i="1"/>
  <c r="J883" i="1"/>
  <c r="P882" i="1"/>
  <c r="R882" i="1" s="1"/>
  <c r="S882" i="1" s="1"/>
  <c r="P881" i="1"/>
  <c r="J881" i="1"/>
  <c r="P880" i="1"/>
  <c r="J880" i="1"/>
  <c r="P879" i="1"/>
  <c r="J879" i="1"/>
  <c r="P878" i="1"/>
  <c r="J878" i="1"/>
  <c r="P877" i="1"/>
  <c r="J877" i="1"/>
  <c r="P876" i="1"/>
  <c r="J876" i="1"/>
  <c r="P875" i="1"/>
  <c r="J875" i="1"/>
  <c r="P874" i="1"/>
  <c r="J874" i="1"/>
  <c r="P872" i="1"/>
  <c r="R872" i="1" s="1"/>
  <c r="S872" i="1" s="1"/>
  <c r="P871" i="1"/>
  <c r="R871" i="1" s="1"/>
  <c r="S871" i="1" s="1"/>
  <c r="P870" i="1"/>
  <c r="R870" i="1" s="1"/>
  <c r="S870" i="1" s="1"/>
  <c r="P869" i="1"/>
  <c r="R869" i="1" s="1"/>
  <c r="S869" i="1" s="1"/>
  <c r="P868" i="1"/>
  <c r="R868" i="1" s="1"/>
  <c r="S868" i="1" s="1"/>
  <c r="P867" i="1"/>
  <c r="R867" i="1" s="1"/>
  <c r="S867" i="1" s="1"/>
  <c r="P866" i="1"/>
  <c r="R866" i="1" s="1"/>
  <c r="S866" i="1" s="1"/>
  <c r="P865" i="1"/>
  <c r="R865" i="1" s="1"/>
  <c r="S865" i="1" s="1"/>
  <c r="P864" i="1"/>
  <c r="R864" i="1" s="1"/>
  <c r="S864" i="1" s="1"/>
  <c r="P863" i="1"/>
  <c r="J863" i="1"/>
  <c r="P862" i="1"/>
  <c r="R862" i="1" s="1"/>
  <c r="S862" i="1" s="1"/>
  <c r="P861" i="1"/>
  <c r="R861" i="1" s="1"/>
  <c r="S861" i="1" s="1"/>
  <c r="P860" i="1"/>
  <c r="R860" i="1" s="1"/>
  <c r="S860" i="1" s="1"/>
  <c r="P857" i="1"/>
  <c r="J857" i="1"/>
  <c r="P855" i="1"/>
  <c r="R855" i="1" s="1"/>
  <c r="S855" i="1" s="1"/>
  <c r="P854" i="1"/>
  <c r="R854" i="1" s="1"/>
  <c r="S854" i="1" s="1"/>
  <c r="P850" i="1"/>
  <c r="J850" i="1"/>
  <c r="P849" i="1"/>
  <c r="J849" i="1"/>
  <c r="P847" i="1"/>
  <c r="R847" i="1" s="1"/>
  <c r="S847" i="1" s="1"/>
  <c r="P846" i="1"/>
  <c r="J846" i="1"/>
  <c r="P844" i="1"/>
  <c r="J844" i="1"/>
  <c r="P843" i="1"/>
  <c r="J843" i="1"/>
  <c r="P840" i="1"/>
  <c r="J840" i="1"/>
  <c r="P839" i="1"/>
  <c r="J839" i="1"/>
  <c r="P838" i="1"/>
  <c r="R838" i="1" s="1"/>
  <c r="S838" i="1" s="1"/>
  <c r="P837" i="1"/>
  <c r="R837" i="1" s="1"/>
  <c r="S837" i="1" s="1"/>
  <c r="P836" i="1"/>
  <c r="J836" i="1"/>
  <c r="P835" i="1"/>
  <c r="J835" i="1"/>
  <c r="P833" i="1"/>
  <c r="R833" i="1" s="1"/>
  <c r="S833" i="1" s="1"/>
  <c r="P831" i="1"/>
  <c r="R831" i="1" s="1"/>
  <c r="S831" i="1" s="1"/>
  <c r="P827" i="1"/>
  <c r="R827" i="1" s="1"/>
  <c r="S827" i="1" s="1"/>
  <c r="P825" i="1"/>
  <c r="R825" i="1" s="1"/>
  <c r="S825" i="1" s="1"/>
  <c r="P823" i="1"/>
  <c r="R823" i="1" s="1"/>
  <c r="S823" i="1" s="1"/>
  <c r="P821" i="1"/>
  <c r="R821" i="1" s="1"/>
  <c r="S821" i="1" s="1"/>
  <c r="P820" i="1"/>
  <c r="J820" i="1"/>
  <c r="P819" i="1"/>
  <c r="J819" i="1"/>
  <c r="P817" i="1"/>
  <c r="R817" i="1" s="1"/>
  <c r="S817" i="1" s="1"/>
  <c r="P816" i="1"/>
  <c r="R816" i="1" s="1"/>
  <c r="S816" i="1" s="1"/>
  <c r="P812" i="1"/>
  <c r="J812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J805" i="1"/>
  <c r="P805" i="1"/>
  <c r="P804" i="1"/>
  <c r="J804" i="1"/>
  <c r="P802" i="1"/>
  <c r="R802" i="1" s="1"/>
  <c r="S802" i="1" s="1"/>
  <c r="P801" i="1"/>
  <c r="R801" i="1" s="1"/>
  <c r="S801" i="1" s="1"/>
  <c r="P800" i="1"/>
  <c r="R800" i="1" s="1"/>
  <c r="S800" i="1" s="1"/>
  <c r="P799" i="1"/>
  <c r="R799" i="1" s="1"/>
  <c r="S799" i="1" s="1"/>
  <c r="P798" i="1"/>
  <c r="R798" i="1" s="1"/>
  <c r="S798" i="1" s="1"/>
  <c r="P797" i="1"/>
  <c r="R797" i="1" s="1"/>
  <c r="S797" i="1" s="1"/>
  <c r="P794" i="1"/>
  <c r="J794" i="1"/>
  <c r="P792" i="1"/>
  <c r="R792" i="1" s="1"/>
  <c r="S792" i="1" s="1"/>
  <c r="P788" i="1"/>
  <c r="R788" i="1" s="1"/>
  <c r="S788" i="1" s="1"/>
  <c r="P787" i="1"/>
  <c r="R787" i="1" s="1"/>
  <c r="S787" i="1" s="1"/>
  <c r="P786" i="1"/>
  <c r="R786" i="1" s="1"/>
  <c r="S786" i="1" s="1"/>
  <c r="P785" i="1"/>
  <c r="R785" i="1" s="1"/>
  <c r="S785" i="1" s="1"/>
  <c r="P784" i="1"/>
  <c r="R784" i="1" s="1"/>
  <c r="S784" i="1" s="1"/>
  <c r="P782" i="1"/>
  <c r="R782" i="1" s="1"/>
  <c r="S782" i="1" s="1"/>
  <c r="P781" i="1"/>
  <c r="R781" i="1" s="1"/>
  <c r="S781" i="1" s="1"/>
  <c r="P780" i="1"/>
  <c r="R780" i="1" s="1"/>
  <c r="S780" i="1" s="1"/>
  <c r="P779" i="1"/>
  <c r="R779" i="1" s="1"/>
  <c r="S779" i="1" s="1"/>
  <c r="P778" i="1"/>
  <c r="R778" i="1" s="1"/>
  <c r="S778" i="1" s="1"/>
  <c r="P777" i="1"/>
  <c r="R777" i="1" s="1"/>
  <c r="S777" i="1" s="1"/>
  <c r="P775" i="1"/>
  <c r="J775" i="1"/>
  <c r="P772" i="1"/>
  <c r="R772" i="1" s="1"/>
  <c r="S772" i="1" s="1"/>
  <c r="P771" i="1"/>
  <c r="R771" i="1" s="1"/>
  <c r="S771" i="1" s="1"/>
  <c r="P770" i="1"/>
  <c r="R770" i="1" s="1"/>
  <c r="S770" i="1" s="1"/>
  <c r="P767" i="1"/>
  <c r="R767" i="1" s="1"/>
  <c r="S767" i="1" s="1"/>
  <c r="P766" i="1"/>
  <c r="J766" i="1"/>
  <c r="P765" i="1"/>
  <c r="J765" i="1"/>
  <c r="P764" i="1"/>
  <c r="J764" i="1"/>
  <c r="P763" i="1"/>
  <c r="J763" i="1"/>
  <c r="P762" i="1"/>
  <c r="J762" i="1"/>
  <c r="P761" i="1"/>
  <c r="J761" i="1"/>
  <c r="P760" i="1"/>
  <c r="J760" i="1"/>
  <c r="P759" i="1"/>
  <c r="J759" i="1"/>
  <c r="J758" i="1"/>
  <c r="P758" i="1"/>
  <c r="J757" i="1"/>
  <c r="P757" i="1"/>
  <c r="P754" i="1"/>
  <c r="R754" i="1" s="1"/>
  <c r="S754" i="1" s="1"/>
  <c r="P753" i="1"/>
  <c r="R753" i="1" s="1"/>
  <c r="S753" i="1" s="1"/>
  <c r="P752" i="1"/>
  <c r="R752" i="1" s="1"/>
  <c r="S752" i="1" s="1"/>
  <c r="P751" i="1"/>
  <c r="R751" i="1" s="1"/>
  <c r="S751" i="1" s="1"/>
  <c r="P750" i="1"/>
  <c r="R750" i="1" s="1"/>
  <c r="S750" i="1" s="1"/>
  <c r="P749" i="1"/>
  <c r="R749" i="1" s="1"/>
  <c r="S749" i="1" s="1"/>
  <c r="P747" i="1"/>
  <c r="R747" i="1" s="1"/>
  <c r="S747" i="1" s="1"/>
  <c r="P746" i="1"/>
  <c r="R746" i="1" s="1"/>
  <c r="S746" i="1" s="1"/>
  <c r="P745" i="1"/>
  <c r="R745" i="1" s="1"/>
  <c r="S745" i="1" s="1"/>
  <c r="P744" i="1"/>
  <c r="R744" i="1" s="1"/>
  <c r="S744" i="1" s="1"/>
  <c r="P743" i="1"/>
  <c r="R743" i="1" s="1"/>
  <c r="S743" i="1" s="1"/>
  <c r="P742" i="1"/>
  <c r="R742" i="1" s="1"/>
  <c r="S742" i="1" s="1"/>
  <c r="P741" i="1"/>
  <c r="R741" i="1" s="1"/>
  <c r="S741" i="1" s="1"/>
  <c r="P740" i="1"/>
  <c r="R740" i="1" s="1"/>
  <c r="S740" i="1" s="1"/>
  <c r="H737" i="1"/>
  <c r="P737" i="1" s="1"/>
  <c r="R737" i="1" s="1"/>
  <c r="S737" i="1" s="1"/>
  <c r="P735" i="1"/>
  <c r="J735" i="1"/>
  <c r="P734" i="1"/>
  <c r="R734" i="1" s="1"/>
  <c r="S734" i="1" s="1"/>
  <c r="P733" i="1"/>
  <c r="J733" i="1"/>
  <c r="P731" i="1"/>
  <c r="R731" i="1" s="1"/>
  <c r="S731" i="1" s="1"/>
  <c r="P730" i="1"/>
  <c r="R730" i="1" s="1"/>
  <c r="S730" i="1" s="1"/>
  <c r="P728" i="1"/>
  <c r="R728" i="1" s="1"/>
  <c r="S728" i="1" s="1"/>
  <c r="P726" i="1"/>
  <c r="R726" i="1" s="1"/>
  <c r="S726" i="1" s="1"/>
  <c r="P724" i="1"/>
  <c r="R724" i="1" s="1"/>
  <c r="S724" i="1" s="1"/>
  <c r="P723" i="1"/>
  <c r="R723" i="1" s="1"/>
  <c r="S723" i="1" s="1"/>
  <c r="P720" i="1"/>
  <c r="R720" i="1" s="1"/>
  <c r="S720" i="1" s="1"/>
  <c r="P719" i="1"/>
  <c r="R719" i="1" s="1"/>
  <c r="S719" i="1" s="1"/>
  <c r="P718" i="1"/>
  <c r="R718" i="1" s="1"/>
  <c r="S718" i="1" s="1"/>
  <c r="P716" i="1"/>
  <c r="J716" i="1"/>
  <c r="P715" i="1"/>
  <c r="J715" i="1"/>
  <c r="P714" i="1"/>
  <c r="R714" i="1" s="1"/>
  <c r="S714" i="1" s="1"/>
  <c r="P713" i="1"/>
  <c r="J713" i="1"/>
  <c r="P712" i="1"/>
  <c r="J712" i="1"/>
  <c r="P710" i="1"/>
  <c r="R710" i="1" s="1"/>
  <c r="S710" i="1" s="1"/>
  <c r="P709" i="1"/>
  <c r="R709" i="1" s="1"/>
  <c r="S709" i="1" s="1"/>
  <c r="P707" i="1"/>
  <c r="R707" i="1" s="1"/>
  <c r="S707" i="1" s="1"/>
  <c r="P706" i="1"/>
  <c r="R706" i="1" s="1"/>
  <c r="S706" i="1" s="1"/>
  <c r="P705" i="1"/>
  <c r="R705" i="1" s="1"/>
  <c r="S705" i="1" s="1"/>
  <c r="P704" i="1"/>
  <c r="R704" i="1" s="1"/>
  <c r="S704" i="1" s="1"/>
  <c r="P703" i="1"/>
  <c r="R703" i="1" s="1"/>
  <c r="S703" i="1" s="1"/>
  <c r="P700" i="1"/>
  <c r="R700" i="1" s="1"/>
  <c r="S700" i="1" s="1"/>
  <c r="P699" i="1"/>
  <c r="R699" i="1" s="1"/>
  <c r="S699" i="1" s="1"/>
  <c r="P696" i="1"/>
  <c r="R696" i="1" s="1"/>
  <c r="S696" i="1" s="1"/>
  <c r="P695" i="1"/>
  <c r="R695" i="1" s="1"/>
  <c r="S695" i="1" s="1"/>
  <c r="P694" i="1"/>
  <c r="R694" i="1" s="1"/>
  <c r="S694" i="1" s="1"/>
  <c r="P693" i="1"/>
  <c r="R693" i="1" s="1"/>
  <c r="S693" i="1" s="1"/>
  <c r="P692" i="1"/>
  <c r="R692" i="1" s="1"/>
  <c r="S692" i="1" s="1"/>
  <c r="P689" i="1"/>
  <c r="R689" i="1" s="1"/>
  <c r="S689" i="1" s="1"/>
  <c r="P687" i="1"/>
  <c r="J687" i="1"/>
  <c r="P686" i="1"/>
  <c r="J686" i="1"/>
  <c r="P685" i="1"/>
  <c r="J685" i="1"/>
  <c r="P684" i="1"/>
  <c r="J684" i="1"/>
  <c r="P683" i="1"/>
  <c r="J683" i="1"/>
  <c r="P682" i="1"/>
  <c r="J682" i="1"/>
  <c r="P681" i="1"/>
  <c r="J681" i="1"/>
  <c r="P680" i="1"/>
  <c r="J680" i="1"/>
  <c r="J679" i="1"/>
  <c r="P679" i="1"/>
  <c r="P678" i="1"/>
  <c r="J678" i="1"/>
  <c r="P677" i="1"/>
  <c r="R677" i="1" s="1"/>
  <c r="S677" i="1" s="1"/>
  <c r="P676" i="1"/>
  <c r="J676" i="1"/>
  <c r="P675" i="1"/>
  <c r="J675" i="1"/>
  <c r="J674" i="1"/>
  <c r="P674" i="1"/>
  <c r="J673" i="1"/>
  <c r="P673" i="1"/>
  <c r="P672" i="1"/>
  <c r="J672" i="1"/>
  <c r="P671" i="1"/>
  <c r="J671" i="1"/>
  <c r="P670" i="1"/>
  <c r="J670" i="1"/>
  <c r="P668" i="1"/>
  <c r="J668" i="1"/>
  <c r="P666" i="1"/>
  <c r="R666" i="1" s="1"/>
  <c r="S666" i="1" s="1"/>
  <c r="P665" i="1"/>
  <c r="R665" i="1" s="1"/>
  <c r="S665" i="1" s="1"/>
  <c r="P664" i="1"/>
  <c r="R664" i="1" s="1"/>
  <c r="S664" i="1" s="1"/>
  <c r="P663" i="1"/>
  <c r="R663" i="1" s="1"/>
  <c r="S663" i="1" s="1"/>
  <c r="P662" i="1"/>
  <c r="R662" i="1" s="1"/>
  <c r="S662" i="1" s="1"/>
  <c r="P661" i="1"/>
  <c r="R661" i="1" s="1"/>
  <c r="S661" i="1" s="1"/>
  <c r="P657" i="1"/>
  <c r="R657" i="1" s="1"/>
  <c r="S657" i="1" s="1"/>
  <c r="P656" i="1"/>
  <c r="R656" i="1" s="1"/>
  <c r="S656" i="1" s="1"/>
  <c r="P655" i="1"/>
  <c r="R655" i="1" s="1"/>
  <c r="S655" i="1" s="1"/>
  <c r="P654" i="1"/>
  <c r="R654" i="1" s="1"/>
  <c r="S654" i="1" s="1"/>
  <c r="P653" i="1"/>
  <c r="R653" i="1" s="1"/>
  <c r="S653" i="1" s="1"/>
  <c r="P650" i="1"/>
  <c r="R650" i="1" s="1"/>
  <c r="S650" i="1" s="1"/>
  <c r="P649" i="1"/>
  <c r="R649" i="1" s="1"/>
  <c r="S649" i="1" s="1"/>
  <c r="P647" i="1"/>
  <c r="J647" i="1"/>
  <c r="P644" i="1"/>
  <c r="J644" i="1"/>
  <c r="P643" i="1"/>
  <c r="J643" i="1"/>
  <c r="P641" i="1"/>
  <c r="R641" i="1" s="1"/>
  <c r="S641" i="1" s="1"/>
  <c r="P638" i="1"/>
  <c r="R638" i="1" s="1"/>
  <c r="S638" i="1" s="1"/>
  <c r="P636" i="1"/>
  <c r="J636" i="1"/>
  <c r="P635" i="1"/>
  <c r="J635" i="1"/>
  <c r="P633" i="1"/>
  <c r="R633" i="1" s="1"/>
  <c r="S633" i="1" s="1"/>
  <c r="P631" i="1"/>
  <c r="R631" i="1" s="1"/>
  <c r="S631" i="1" s="1"/>
  <c r="P630" i="1"/>
  <c r="J630" i="1"/>
  <c r="P627" i="1"/>
  <c r="J627" i="1"/>
  <c r="P626" i="1"/>
  <c r="J626" i="1"/>
  <c r="P625" i="1"/>
  <c r="J625" i="1"/>
  <c r="P623" i="1"/>
  <c r="R623" i="1" s="1"/>
  <c r="S623" i="1" s="1"/>
  <c r="P620" i="1"/>
  <c r="J620" i="1"/>
  <c r="P619" i="1"/>
  <c r="J619" i="1"/>
  <c r="P617" i="1"/>
  <c r="R617" i="1" s="1"/>
  <c r="S617" i="1" s="1"/>
  <c r="P616" i="1"/>
  <c r="R616" i="1" s="1"/>
  <c r="S616" i="1" s="1"/>
  <c r="P615" i="1"/>
  <c r="R615" i="1" s="1"/>
  <c r="S615" i="1" s="1"/>
  <c r="P614" i="1"/>
  <c r="R614" i="1" s="1"/>
  <c r="S614" i="1" s="1"/>
  <c r="P613" i="1"/>
  <c r="R613" i="1" s="1"/>
  <c r="S613" i="1" s="1"/>
  <c r="P612" i="1"/>
  <c r="R612" i="1" s="1"/>
  <c r="S612" i="1" s="1"/>
  <c r="P611" i="1"/>
  <c r="R611" i="1" s="1"/>
  <c r="S611" i="1" s="1"/>
  <c r="P608" i="1"/>
  <c r="R608" i="1" s="1"/>
  <c r="S608" i="1" s="1"/>
  <c r="P607" i="1"/>
  <c r="R607" i="1" s="1"/>
  <c r="S607" i="1" s="1"/>
  <c r="P605" i="1"/>
  <c r="R605" i="1" s="1"/>
  <c r="S605" i="1" s="1"/>
  <c r="P599" i="1"/>
  <c r="R599" i="1" s="1"/>
  <c r="S599" i="1" s="1"/>
  <c r="P598" i="1"/>
  <c r="R598" i="1" s="1"/>
  <c r="S598" i="1" s="1"/>
  <c r="P597" i="1"/>
  <c r="R597" i="1" s="1"/>
  <c r="S597" i="1" s="1"/>
  <c r="P596" i="1"/>
  <c r="R596" i="1" s="1"/>
  <c r="S596" i="1" s="1"/>
  <c r="P595" i="1"/>
  <c r="R595" i="1" s="1"/>
  <c r="S595" i="1" s="1"/>
  <c r="P594" i="1"/>
  <c r="R594" i="1" s="1"/>
  <c r="S594" i="1" s="1"/>
  <c r="P593" i="1"/>
  <c r="R593" i="1" s="1"/>
  <c r="S593" i="1" s="1"/>
  <c r="P592" i="1"/>
  <c r="R592" i="1" s="1"/>
  <c r="S592" i="1" s="1"/>
  <c r="P591" i="1"/>
  <c r="R591" i="1" s="1"/>
  <c r="S591" i="1" s="1"/>
  <c r="P590" i="1"/>
  <c r="R590" i="1" s="1"/>
  <c r="S590" i="1" s="1"/>
  <c r="P589" i="1"/>
  <c r="R589" i="1" s="1"/>
  <c r="S589" i="1" s="1"/>
  <c r="P588" i="1"/>
  <c r="R588" i="1" s="1"/>
  <c r="S588" i="1" s="1"/>
  <c r="P587" i="1"/>
  <c r="R587" i="1" s="1"/>
  <c r="S587" i="1" s="1"/>
  <c r="P586" i="1"/>
  <c r="R586" i="1" s="1"/>
  <c r="S586" i="1" s="1"/>
  <c r="P585" i="1"/>
  <c r="R585" i="1" s="1"/>
  <c r="S585" i="1" s="1"/>
  <c r="P584" i="1"/>
  <c r="R584" i="1" s="1"/>
  <c r="S584" i="1" s="1"/>
  <c r="P583" i="1"/>
  <c r="R583" i="1" s="1"/>
  <c r="S583" i="1" s="1"/>
  <c r="P582" i="1"/>
  <c r="R582" i="1" s="1"/>
  <c r="S582" i="1" s="1"/>
  <c r="P581" i="1"/>
  <c r="R581" i="1" s="1"/>
  <c r="S581" i="1" s="1"/>
  <c r="P580" i="1"/>
  <c r="R580" i="1" s="1"/>
  <c r="S580" i="1" s="1"/>
  <c r="P579" i="1"/>
  <c r="R579" i="1" s="1"/>
  <c r="S579" i="1" s="1"/>
  <c r="P578" i="1"/>
  <c r="R578" i="1" s="1"/>
  <c r="S578" i="1" s="1"/>
  <c r="P577" i="1"/>
  <c r="R577" i="1" s="1"/>
  <c r="S577" i="1" s="1"/>
  <c r="P576" i="1"/>
  <c r="R576" i="1" s="1"/>
  <c r="S576" i="1" s="1"/>
  <c r="P575" i="1"/>
  <c r="J575" i="1"/>
  <c r="P574" i="1"/>
  <c r="R574" i="1" s="1"/>
  <c r="S574" i="1" s="1"/>
  <c r="P573" i="1"/>
  <c r="R573" i="1" s="1"/>
  <c r="S573" i="1" s="1"/>
  <c r="P572" i="1"/>
  <c r="R572" i="1" s="1"/>
  <c r="S572" i="1" s="1"/>
  <c r="P570" i="1"/>
  <c r="J570" i="1"/>
  <c r="P569" i="1"/>
  <c r="J569" i="1"/>
  <c r="P568" i="1"/>
  <c r="J568" i="1"/>
  <c r="P567" i="1"/>
  <c r="J567" i="1"/>
  <c r="J566" i="1"/>
  <c r="P566" i="1"/>
  <c r="P565" i="1"/>
  <c r="J565" i="1"/>
  <c r="P564" i="1"/>
  <c r="J564" i="1"/>
  <c r="P563" i="1"/>
  <c r="J563" i="1"/>
  <c r="P562" i="1"/>
  <c r="R562" i="1" s="1"/>
  <c r="S562" i="1" s="1"/>
  <c r="P561" i="1"/>
  <c r="J561" i="1"/>
  <c r="J560" i="1"/>
  <c r="P560" i="1"/>
  <c r="P559" i="1"/>
  <c r="J559" i="1"/>
  <c r="P558" i="1"/>
  <c r="J558" i="1"/>
  <c r="P557" i="1"/>
  <c r="J557" i="1"/>
  <c r="P556" i="1"/>
  <c r="J556" i="1"/>
  <c r="P555" i="1"/>
  <c r="J555" i="1"/>
  <c r="P554" i="1"/>
  <c r="J554" i="1"/>
  <c r="P553" i="1"/>
  <c r="J553" i="1"/>
  <c r="P552" i="1"/>
  <c r="J552" i="1"/>
  <c r="P551" i="1"/>
  <c r="J551" i="1"/>
  <c r="P550" i="1"/>
  <c r="J550" i="1"/>
  <c r="P549" i="1"/>
  <c r="R549" i="1" s="1"/>
  <c r="S549" i="1" s="1"/>
  <c r="P548" i="1"/>
  <c r="J548" i="1"/>
  <c r="P547" i="1"/>
  <c r="J547" i="1"/>
  <c r="P546" i="1"/>
  <c r="R546" i="1" s="1"/>
  <c r="S546" i="1" s="1"/>
  <c r="P544" i="1"/>
  <c r="R544" i="1" s="1"/>
  <c r="S544" i="1" s="1"/>
  <c r="P543" i="1"/>
  <c r="R543" i="1" s="1"/>
  <c r="S543" i="1" s="1"/>
  <c r="P542" i="1"/>
  <c r="R542" i="1" s="1"/>
  <c r="S542" i="1" s="1"/>
  <c r="P541" i="1"/>
  <c r="R541" i="1" s="1"/>
  <c r="S541" i="1" s="1"/>
  <c r="P540" i="1"/>
  <c r="R540" i="1" s="1"/>
  <c r="S540" i="1" s="1"/>
  <c r="P539" i="1"/>
  <c r="R539" i="1" s="1"/>
  <c r="S539" i="1" s="1"/>
  <c r="P538" i="1"/>
  <c r="R538" i="1" s="1"/>
  <c r="S538" i="1" s="1"/>
  <c r="P537" i="1"/>
  <c r="R537" i="1" s="1"/>
  <c r="S537" i="1" s="1"/>
  <c r="P535" i="1"/>
  <c r="R535" i="1" s="1"/>
  <c r="S535" i="1" s="1"/>
  <c r="P534" i="1"/>
  <c r="R534" i="1" s="1"/>
  <c r="S534" i="1" s="1"/>
  <c r="P533" i="1"/>
  <c r="R533" i="1" s="1"/>
  <c r="S533" i="1" s="1"/>
  <c r="P532" i="1"/>
  <c r="R532" i="1" s="1"/>
  <c r="S532" i="1" s="1"/>
  <c r="P531" i="1"/>
  <c r="R531" i="1" s="1"/>
  <c r="S531" i="1" s="1"/>
  <c r="P530" i="1"/>
  <c r="R530" i="1" s="1"/>
  <c r="S530" i="1" s="1"/>
  <c r="P529" i="1"/>
  <c r="R529" i="1" s="1"/>
  <c r="S529" i="1" s="1"/>
  <c r="P528" i="1"/>
  <c r="R528" i="1" s="1"/>
  <c r="S528" i="1" s="1"/>
  <c r="P526" i="1"/>
  <c r="R526" i="1" s="1"/>
  <c r="S526" i="1" s="1"/>
  <c r="P525" i="1"/>
  <c r="R525" i="1" s="1"/>
  <c r="S525" i="1" s="1"/>
  <c r="P523" i="1"/>
  <c r="R523" i="1" s="1"/>
  <c r="S523" i="1" s="1"/>
  <c r="P522" i="1"/>
  <c r="R522" i="1" s="1"/>
  <c r="S522" i="1" s="1"/>
  <c r="P521" i="1"/>
  <c r="R521" i="1" s="1"/>
  <c r="S521" i="1" s="1"/>
  <c r="P520" i="1"/>
  <c r="R520" i="1" s="1"/>
  <c r="S520" i="1" s="1"/>
  <c r="P517" i="1"/>
  <c r="J517" i="1"/>
  <c r="P516" i="1"/>
  <c r="J516" i="1"/>
  <c r="P515" i="1"/>
  <c r="R515" i="1" s="1"/>
  <c r="S515" i="1" s="1"/>
  <c r="P514" i="1"/>
  <c r="R514" i="1" s="1"/>
  <c r="S514" i="1" s="1"/>
  <c r="P513" i="1"/>
  <c r="R513" i="1" s="1"/>
  <c r="S513" i="1" s="1"/>
  <c r="P512" i="1"/>
  <c r="J512" i="1"/>
  <c r="P511" i="1"/>
  <c r="R511" i="1" s="1"/>
  <c r="S511" i="1" s="1"/>
  <c r="P509" i="1"/>
  <c r="R509" i="1" s="1"/>
  <c r="S509" i="1" s="1"/>
  <c r="P507" i="1"/>
  <c r="R507" i="1" s="1"/>
  <c r="S507" i="1" s="1"/>
  <c r="P506" i="1"/>
  <c r="R506" i="1" s="1"/>
  <c r="S506" i="1" s="1"/>
  <c r="P505" i="1"/>
  <c r="R505" i="1" s="1"/>
  <c r="S505" i="1" s="1"/>
  <c r="P504" i="1"/>
  <c r="R504" i="1" s="1"/>
  <c r="S504" i="1" s="1"/>
  <c r="P503" i="1"/>
  <c r="R503" i="1" s="1"/>
  <c r="S503" i="1" s="1"/>
  <c r="P502" i="1"/>
  <c r="R502" i="1" s="1"/>
  <c r="S502" i="1" s="1"/>
  <c r="P501" i="1"/>
  <c r="R501" i="1" s="1"/>
  <c r="S501" i="1" s="1"/>
  <c r="P500" i="1"/>
  <c r="R500" i="1" s="1"/>
  <c r="S500" i="1" s="1"/>
  <c r="P499" i="1"/>
  <c r="R499" i="1" s="1"/>
  <c r="S499" i="1" s="1"/>
  <c r="P495" i="1"/>
  <c r="J495" i="1"/>
  <c r="P494" i="1"/>
  <c r="J494" i="1"/>
  <c r="P492" i="1"/>
  <c r="R492" i="1" s="1"/>
  <c r="S492" i="1" s="1"/>
  <c r="P491" i="1"/>
  <c r="R491" i="1" s="1"/>
  <c r="S491" i="1" s="1"/>
  <c r="P488" i="1"/>
  <c r="R488" i="1" s="1"/>
  <c r="S488" i="1" s="1"/>
  <c r="P487" i="1"/>
  <c r="R487" i="1" s="1"/>
  <c r="S487" i="1" s="1"/>
  <c r="J484" i="1"/>
  <c r="P484" i="1"/>
  <c r="J483" i="1"/>
  <c r="P483" i="1"/>
  <c r="P482" i="1"/>
  <c r="J482" i="1"/>
  <c r="P480" i="1"/>
  <c r="R480" i="1" s="1"/>
  <c r="S480" i="1" s="1"/>
  <c r="P479" i="1"/>
  <c r="R479" i="1" s="1"/>
  <c r="S479" i="1" s="1"/>
  <c r="P476" i="1"/>
  <c r="R476" i="1" s="1"/>
  <c r="S476" i="1" s="1"/>
  <c r="J475" i="1"/>
  <c r="P475" i="1"/>
  <c r="J474" i="1"/>
  <c r="J473" i="1"/>
  <c r="P473" i="1"/>
  <c r="P471" i="1"/>
  <c r="R471" i="1" s="1"/>
  <c r="S471" i="1" s="1"/>
  <c r="P470" i="1"/>
  <c r="R470" i="1" s="1"/>
  <c r="S470" i="1" s="1"/>
  <c r="P469" i="1"/>
  <c r="R469" i="1" s="1"/>
  <c r="S469" i="1" s="1"/>
  <c r="P468" i="1"/>
  <c r="R468" i="1" s="1"/>
  <c r="S468" i="1" s="1"/>
  <c r="P467" i="1"/>
  <c r="R467" i="1" s="1"/>
  <c r="S467" i="1" s="1"/>
  <c r="P463" i="1"/>
  <c r="R463" i="1" s="1"/>
  <c r="S463" i="1" s="1"/>
  <c r="J460" i="1"/>
  <c r="P460" i="1"/>
  <c r="P459" i="1"/>
  <c r="J459" i="1"/>
  <c r="P458" i="1"/>
  <c r="J458" i="1"/>
  <c r="P457" i="1"/>
  <c r="J457" i="1"/>
  <c r="P455" i="1"/>
  <c r="R455" i="1" s="1"/>
  <c r="S455" i="1" s="1"/>
  <c r="P454" i="1"/>
  <c r="R454" i="1" s="1"/>
  <c r="S454" i="1" s="1"/>
  <c r="P453" i="1"/>
  <c r="R453" i="1" s="1"/>
  <c r="S453" i="1" s="1"/>
  <c r="P452" i="1"/>
  <c r="R452" i="1" s="1"/>
  <c r="S452" i="1" s="1"/>
  <c r="P451" i="1"/>
  <c r="R451" i="1" s="1"/>
  <c r="S451" i="1" s="1"/>
  <c r="P450" i="1"/>
  <c r="R450" i="1" s="1"/>
  <c r="S450" i="1" s="1"/>
  <c r="P447" i="1"/>
  <c r="R447" i="1" s="1"/>
  <c r="S447" i="1" s="1"/>
  <c r="P444" i="1"/>
  <c r="R444" i="1" s="1"/>
  <c r="S444" i="1" s="1"/>
  <c r="P442" i="1"/>
  <c r="R442" i="1" s="1"/>
  <c r="S442" i="1" s="1"/>
  <c r="J439" i="1"/>
  <c r="P439" i="1"/>
  <c r="J438" i="1"/>
  <c r="P438" i="1"/>
  <c r="P437" i="1"/>
  <c r="J437" i="1"/>
  <c r="P435" i="1"/>
  <c r="J435" i="1"/>
  <c r="J434" i="1"/>
  <c r="P434" i="1"/>
  <c r="P433" i="1"/>
  <c r="J433" i="1"/>
  <c r="P432" i="1"/>
  <c r="J432" i="1"/>
  <c r="P431" i="1"/>
  <c r="J431" i="1"/>
  <c r="P430" i="1"/>
  <c r="J430" i="1"/>
  <c r="J429" i="1"/>
  <c r="P429" i="1"/>
  <c r="P428" i="1"/>
  <c r="J428" i="1"/>
  <c r="S427" i="1"/>
  <c r="P425" i="1"/>
  <c r="J425" i="1"/>
  <c r="P424" i="1"/>
  <c r="J424" i="1"/>
  <c r="J423" i="1"/>
  <c r="P423" i="1"/>
  <c r="P421" i="1"/>
  <c r="J421" i="1"/>
  <c r="P419" i="1"/>
  <c r="J419" i="1"/>
  <c r="P418" i="1"/>
  <c r="J418" i="1"/>
  <c r="P417" i="1"/>
  <c r="J417" i="1"/>
  <c r="P416" i="1"/>
  <c r="J416" i="1"/>
  <c r="P412" i="1"/>
  <c r="J412" i="1"/>
  <c r="P410" i="1"/>
  <c r="R410" i="1" s="1"/>
  <c r="S410" i="1" s="1"/>
  <c r="P409" i="1"/>
  <c r="R409" i="1" s="1"/>
  <c r="S409" i="1" s="1"/>
  <c r="P406" i="1"/>
  <c r="J406" i="1"/>
  <c r="P405" i="1"/>
  <c r="J405" i="1"/>
  <c r="P404" i="1"/>
  <c r="J404" i="1"/>
  <c r="P399" i="1"/>
  <c r="J399" i="1"/>
  <c r="P398" i="1"/>
  <c r="J398" i="1"/>
  <c r="P396" i="1"/>
  <c r="R396" i="1" s="1"/>
  <c r="S396" i="1" s="1"/>
  <c r="P395" i="1"/>
  <c r="R395" i="1" s="1"/>
  <c r="S395" i="1" s="1"/>
  <c r="P394" i="1"/>
  <c r="R394" i="1" s="1"/>
  <c r="S394" i="1" s="1"/>
  <c r="P393" i="1"/>
  <c r="R393" i="1" s="1"/>
  <c r="S393" i="1" s="1"/>
  <c r="P392" i="1"/>
  <c r="R392" i="1" s="1"/>
  <c r="S392" i="1" s="1"/>
  <c r="P391" i="1"/>
  <c r="R391" i="1" s="1"/>
  <c r="S391" i="1" s="1"/>
  <c r="P390" i="1"/>
  <c r="R390" i="1" s="1"/>
  <c r="S390" i="1" s="1"/>
  <c r="P389" i="1"/>
  <c r="R389" i="1" s="1"/>
  <c r="S389" i="1" s="1"/>
  <c r="P388" i="1"/>
  <c r="R388" i="1" s="1"/>
  <c r="S388" i="1" s="1"/>
  <c r="P384" i="1"/>
  <c r="R384" i="1" s="1"/>
  <c r="S384" i="1" s="1"/>
  <c r="P383" i="1"/>
  <c r="R383" i="1" s="1"/>
  <c r="S383" i="1" s="1"/>
  <c r="P382" i="1"/>
  <c r="R382" i="1" s="1"/>
  <c r="S382" i="1" s="1"/>
  <c r="P381" i="1"/>
  <c r="R381" i="1" s="1"/>
  <c r="S381" i="1" s="1"/>
  <c r="P380" i="1"/>
  <c r="R380" i="1" s="1"/>
  <c r="S380" i="1" s="1"/>
  <c r="P379" i="1"/>
  <c r="R379" i="1" s="1"/>
  <c r="S379" i="1" s="1"/>
  <c r="P378" i="1"/>
  <c r="R378" i="1" s="1"/>
  <c r="S378" i="1" s="1"/>
  <c r="P375" i="1"/>
  <c r="R375" i="1" s="1"/>
  <c r="S375" i="1" s="1"/>
  <c r="P374" i="1"/>
  <c r="R374" i="1" s="1"/>
  <c r="S374" i="1" s="1"/>
  <c r="P372" i="1"/>
  <c r="R372" i="1" s="1"/>
  <c r="S372" i="1" s="1"/>
  <c r="P371" i="1"/>
  <c r="R371" i="1" s="1"/>
  <c r="S371" i="1" s="1"/>
  <c r="P370" i="1"/>
  <c r="R370" i="1" s="1"/>
  <c r="S370" i="1" s="1"/>
  <c r="P367" i="1"/>
  <c r="R367" i="1" s="1"/>
  <c r="S367" i="1" s="1"/>
  <c r="P365" i="1"/>
  <c r="J365" i="1"/>
  <c r="P361" i="1"/>
  <c r="J361" i="1"/>
  <c r="P360" i="1"/>
  <c r="J360" i="1"/>
  <c r="P357" i="1"/>
  <c r="J357" i="1"/>
  <c r="P356" i="1"/>
  <c r="J356" i="1"/>
  <c r="P355" i="1"/>
  <c r="J355" i="1"/>
  <c r="P354" i="1"/>
  <c r="J354" i="1"/>
  <c r="P352" i="1"/>
  <c r="R352" i="1" s="1"/>
  <c r="S352" i="1" s="1"/>
  <c r="P351" i="1"/>
  <c r="R351" i="1" s="1"/>
  <c r="S351" i="1" s="1"/>
  <c r="P350" i="1"/>
  <c r="R350" i="1" s="1"/>
  <c r="S350" i="1" s="1"/>
  <c r="P349" i="1"/>
  <c r="R349" i="1" s="1"/>
  <c r="S349" i="1" s="1"/>
  <c r="P348" i="1"/>
  <c r="R348" i="1" s="1"/>
  <c r="S348" i="1" s="1"/>
  <c r="P347" i="1"/>
  <c r="R347" i="1" s="1"/>
  <c r="S347" i="1" s="1"/>
  <c r="P346" i="1"/>
  <c r="R346" i="1" s="1"/>
  <c r="S346" i="1" s="1"/>
  <c r="P345" i="1"/>
  <c r="R345" i="1" s="1"/>
  <c r="S345" i="1" s="1"/>
  <c r="P344" i="1"/>
  <c r="R344" i="1" s="1"/>
  <c r="S344" i="1" s="1"/>
  <c r="P343" i="1"/>
  <c r="R343" i="1" s="1"/>
  <c r="S343" i="1" s="1"/>
  <c r="P340" i="1"/>
  <c r="J340" i="1"/>
  <c r="P339" i="1"/>
  <c r="J339" i="1"/>
  <c r="P336" i="1"/>
  <c r="J336" i="1"/>
  <c r="P335" i="1"/>
  <c r="J335" i="1"/>
  <c r="J334" i="1"/>
  <c r="P334" i="1"/>
  <c r="P327" i="1"/>
  <c r="R327" i="1" s="1"/>
  <c r="S327" i="1" s="1"/>
  <c r="P326" i="1"/>
  <c r="R326" i="1" s="1"/>
  <c r="S326" i="1" s="1"/>
  <c r="P325" i="1"/>
  <c r="R325" i="1" s="1"/>
  <c r="S325" i="1" s="1"/>
  <c r="P324" i="1"/>
  <c r="R324" i="1" s="1"/>
  <c r="S324" i="1" s="1"/>
  <c r="P323" i="1"/>
  <c r="R323" i="1" s="1"/>
  <c r="S323" i="1" s="1"/>
  <c r="P322" i="1"/>
  <c r="R322" i="1" s="1"/>
  <c r="S322" i="1" s="1"/>
  <c r="P321" i="1"/>
  <c r="R321" i="1" s="1"/>
  <c r="S321" i="1" s="1"/>
  <c r="P320" i="1"/>
  <c r="R320" i="1" s="1"/>
  <c r="S320" i="1" s="1"/>
  <c r="P319" i="1"/>
  <c r="R319" i="1" s="1"/>
  <c r="S319" i="1" s="1"/>
  <c r="P318" i="1"/>
  <c r="R318" i="1" s="1"/>
  <c r="S318" i="1" s="1"/>
  <c r="P317" i="1"/>
  <c r="R317" i="1" s="1"/>
  <c r="S317" i="1" s="1"/>
  <c r="P315" i="1"/>
  <c r="J315" i="1"/>
  <c r="P312" i="1"/>
  <c r="J312" i="1"/>
  <c r="P309" i="1"/>
  <c r="J309" i="1"/>
  <c r="P308" i="1"/>
  <c r="J308" i="1"/>
  <c r="P307" i="1"/>
  <c r="J307" i="1"/>
  <c r="P306" i="1"/>
  <c r="J306" i="1"/>
  <c r="P305" i="1"/>
  <c r="J305" i="1"/>
  <c r="P304" i="1"/>
  <c r="J304" i="1"/>
  <c r="P303" i="1"/>
  <c r="J303" i="1"/>
  <c r="P299" i="1"/>
  <c r="R299" i="1" s="1"/>
  <c r="S299" i="1" s="1"/>
  <c r="P296" i="1"/>
  <c r="R296" i="1" s="1"/>
  <c r="S296" i="1" s="1"/>
  <c r="P293" i="1"/>
  <c r="R293" i="1" s="1"/>
  <c r="S293" i="1" s="1"/>
  <c r="P289" i="1"/>
  <c r="J289" i="1"/>
  <c r="P288" i="1"/>
  <c r="J288" i="1"/>
  <c r="P286" i="1"/>
  <c r="R286" i="1" s="1"/>
  <c r="S286" i="1" s="1"/>
  <c r="P285" i="1"/>
  <c r="R285" i="1" s="1"/>
  <c r="S285" i="1" s="1"/>
  <c r="P284" i="1"/>
  <c r="R284" i="1" s="1"/>
  <c r="S284" i="1" s="1"/>
  <c r="P281" i="1"/>
  <c r="R281" i="1" s="1"/>
  <c r="S281" i="1" s="1"/>
  <c r="P278" i="1"/>
  <c r="J278" i="1"/>
  <c r="P277" i="1"/>
  <c r="J277" i="1"/>
  <c r="P276" i="1"/>
  <c r="J276" i="1"/>
  <c r="P274" i="1"/>
  <c r="R274" i="1" s="1"/>
  <c r="S274" i="1" s="1"/>
  <c r="P273" i="1"/>
  <c r="R273" i="1" s="1"/>
  <c r="S273" i="1" s="1"/>
  <c r="P272" i="1"/>
  <c r="R272" i="1" s="1"/>
  <c r="S272" i="1" s="1"/>
  <c r="P271" i="1"/>
  <c r="R271" i="1" s="1"/>
  <c r="S271" i="1" s="1"/>
  <c r="P268" i="1"/>
  <c r="J268" i="1"/>
  <c r="P267" i="1"/>
  <c r="J267" i="1"/>
  <c r="P265" i="1"/>
  <c r="R265" i="1" s="1"/>
  <c r="S265" i="1" s="1"/>
  <c r="P263" i="1"/>
  <c r="R263" i="1" s="1"/>
  <c r="S263" i="1" s="1"/>
  <c r="P260" i="1"/>
  <c r="J260" i="1"/>
  <c r="P259" i="1"/>
  <c r="R259" i="1" s="1"/>
  <c r="S259" i="1" s="1"/>
  <c r="P257" i="1"/>
  <c r="R257" i="1" s="1"/>
  <c r="S257" i="1" s="1"/>
  <c r="J255" i="1"/>
  <c r="P255" i="1"/>
  <c r="J254" i="1"/>
  <c r="J253" i="1"/>
  <c r="P253" i="1"/>
  <c r="P251" i="1"/>
  <c r="R251" i="1" s="1"/>
  <c r="S251" i="1" s="1"/>
  <c r="J250" i="1"/>
  <c r="H250" i="1"/>
  <c r="P250" i="1" s="1"/>
  <c r="P249" i="1"/>
  <c r="R249" i="1" s="1"/>
  <c r="S249" i="1" s="1"/>
  <c r="P248" i="1"/>
  <c r="R248" i="1" s="1"/>
  <c r="S248" i="1" s="1"/>
  <c r="P247" i="1"/>
  <c r="R247" i="1" s="1"/>
  <c r="S247" i="1" s="1"/>
  <c r="P246" i="1"/>
  <c r="R246" i="1" s="1"/>
  <c r="S246" i="1" s="1"/>
  <c r="P242" i="1"/>
  <c r="R242" i="1" s="1"/>
  <c r="S242" i="1" s="1"/>
  <c r="P241" i="1"/>
  <c r="R241" i="1" s="1"/>
  <c r="S241" i="1" s="1"/>
  <c r="P239" i="1"/>
  <c r="R239" i="1" s="1"/>
  <c r="S239" i="1" s="1"/>
  <c r="P236" i="1"/>
  <c r="R236" i="1" s="1"/>
  <c r="S236" i="1" s="1"/>
  <c r="P235" i="1"/>
  <c r="J235" i="1"/>
  <c r="P234" i="1"/>
  <c r="R234" i="1" s="1"/>
  <c r="S234" i="1" s="1"/>
  <c r="P233" i="1"/>
  <c r="J233" i="1"/>
  <c r="P231" i="1"/>
  <c r="R231" i="1" s="1"/>
  <c r="S231" i="1" s="1"/>
  <c r="P229" i="1"/>
  <c r="R229" i="1" s="1"/>
  <c r="S229" i="1" s="1"/>
  <c r="P228" i="1"/>
  <c r="R228" i="1" s="1"/>
  <c r="S228" i="1" s="1"/>
  <c r="P226" i="1"/>
  <c r="R226" i="1" s="1"/>
  <c r="S226" i="1" s="1"/>
  <c r="P223" i="1"/>
  <c r="J223" i="1"/>
  <c r="P222" i="1"/>
  <c r="J222" i="1"/>
  <c r="J221" i="1"/>
  <c r="P221" i="1"/>
  <c r="J220" i="1"/>
  <c r="P220" i="1"/>
  <c r="P219" i="1"/>
  <c r="J219" i="1"/>
  <c r="P218" i="1"/>
  <c r="J218" i="1"/>
  <c r="P217" i="1"/>
  <c r="R217" i="1" s="1"/>
  <c r="S217" i="1" s="1"/>
  <c r="P216" i="1"/>
  <c r="R216" i="1" s="1"/>
  <c r="S216" i="1" s="1"/>
  <c r="P212" i="1"/>
  <c r="J212" i="1"/>
  <c r="P211" i="1"/>
  <c r="J211" i="1"/>
  <c r="P209" i="1"/>
  <c r="R209" i="1" s="1"/>
  <c r="S209" i="1" s="1"/>
  <c r="P208" i="1"/>
  <c r="R208" i="1" s="1"/>
  <c r="S208" i="1" s="1"/>
  <c r="P207" i="1"/>
  <c r="R207" i="1" s="1"/>
  <c r="S207" i="1" s="1"/>
  <c r="P206" i="1"/>
  <c r="R206" i="1" s="1"/>
  <c r="S206" i="1" s="1"/>
  <c r="P205" i="1"/>
  <c r="R205" i="1" s="1"/>
  <c r="S205" i="1" s="1"/>
  <c r="P204" i="1"/>
  <c r="R204" i="1" s="1"/>
  <c r="S204" i="1" s="1"/>
  <c r="P203" i="1"/>
  <c r="R203" i="1" s="1"/>
  <c r="S203" i="1" s="1"/>
  <c r="P202" i="1"/>
  <c r="R202" i="1" s="1"/>
  <c r="S202" i="1" s="1"/>
  <c r="P201" i="1"/>
  <c r="R201" i="1" s="1"/>
  <c r="S201" i="1" s="1"/>
  <c r="P200" i="1"/>
  <c r="R200" i="1" s="1"/>
  <c r="S200" i="1" s="1"/>
  <c r="J197" i="1"/>
  <c r="P197" i="1"/>
  <c r="P196" i="1"/>
  <c r="J196" i="1"/>
  <c r="P193" i="1"/>
  <c r="J193" i="1"/>
  <c r="P192" i="1"/>
  <c r="J192" i="1"/>
  <c r="P191" i="1"/>
  <c r="J191" i="1"/>
  <c r="P190" i="1"/>
  <c r="J190" i="1"/>
  <c r="P189" i="1"/>
  <c r="J189" i="1"/>
  <c r="J188" i="1"/>
  <c r="P188" i="1"/>
  <c r="P187" i="1"/>
  <c r="J187" i="1"/>
  <c r="P186" i="1"/>
  <c r="J186" i="1"/>
  <c r="P185" i="1"/>
  <c r="J185" i="1"/>
  <c r="P184" i="1"/>
  <c r="J184" i="1"/>
  <c r="P183" i="1"/>
  <c r="J183" i="1"/>
  <c r="P182" i="1"/>
  <c r="J182" i="1"/>
  <c r="P181" i="1"/>
  <c r="J181" i="1"/>
  <c r="P180" i="1"/>
  <c r="J180" i="1"/>
  <c r="P179" i="1"/>
  <c r="J179" i="1"/>
  <c r="P178" i="1"/>
  <c r="J178" i="1"/>
  <c r="P177" i="1"/>
  <c r="J177" i="1"/>
  <c r="P176" i="1"/>
  <c r="J176" i="1"/>
  <c r="J174" i="1"/>
  <c r="H174" i="1"/>
  <c r="P174" i="1" s="1"/>
  <c r="J173" i="1"/>
  <c r="H173" i="1"/>
  <c r="P173" i="1" s="1"/>
  <c r="P171" i="1"/>
  <c r="J171" i="1"/>
  <c r="P170" i="1"/>
  <c r="J170" i="1"/>
  <c r="P169" i="1"/>
  <c r="J169" i="1"/>
  <c r="P168" i="1"/>
  <c r="J168" i="1"/>
  <c r="J167" i="1"/>
  <c r="P167" i="1"/>
  <c r="P166" i="1"/>
  <c r="J166" i="1"/>
  <c r="P164" i="1"/>
  <c r="J164" i="1"/>
  <c r="P162" i="1"/>
  <c r="J162" i="1"/>
  <c r="J161" i="1"/>
  <c r="P161" i="1"/>
  <c r="P160" i="1"/>
  <c r="J160" i="1"/>
  <c r="P157" i="1"/>
  <c r="J157" i="1"/>
  <c r="J156" i="1"/>
  <c r="P156" i="1"/>
  <c r="P155" i="1"/>
  <c r="J155" i="1"/>
  <c r="P154" i="1"/>
  <c r="J154" i="1"/>
  <c r="J153" i="1"/>
  <c r="P153" i="1"/>
  <c r="J152" i="1"/>
  <c r="P151" i="1"/>
  <c r="J151" i="1"/>
  <c r="P150" i="1"/>
  <c r="J150" i="1"/>
  <c r="P148" i="1"/>
  <c r="R148" i="1" s="1"/>
  <c r="S148" i="1" s="1"/>
  <c r="P147" i="1"/>
  <c r="R147" i="1" s="1"/>
  <c r="S147" i="1" s="1"/>
  <c r="P146" i="1"/>
  <c r="J146" i="1"/>
  <c r="P145" i="1"/>
  <c r="R145" i="1" s="1"/>
  <c r="S145" i="1" s="1"/>
  <c r="P144" i="1"/>
  <c r="J144" i="1"/>
  <c r="P143" i="1"/>
  <c r="J143" i="1"/>
  <c r="P142" i="1"/>
  <c r="R142" i="1" s="1"/>
  <c r="S142" i="1" s="1"/>
  <c r="P141" i="1"/>
  <c r="R141" i="1" s="1"/>
  <c r="S141" i="1" s="1"/>
  <c r="P140" i="1"/>
  <c r="R140" i="1" s="1"/>
  <c r="S140" i="1" s="1"/>
  <c r="P139" i="1"/>
  <c r="R139" i="1" s="1"/>
  <c r="S139" i="1" s="1"/>
  <c r="P138" i="1"/>
  <c r="R138" i="1" s="1"/>
  <c r="S138" i="1" s="1"/>
  <c r="P137" i="1"/>
  <c r="R137" i="1" s="1"/>
  <c r="S137" i="1" s="1"/>
  <c r="P136" i="1"/>
  <c r="R136" i="1" s="1"/>
  <c r="S136" i="1" s="1"/>
  <c r="P135" i="1"/>
  <c r="R135" i="1" s="1"/>
  <c r="S135" i="1" s="1"/>
  <c r="P134" i="1"/>
  <c r="R134" i="1" s="1"/>
  <c r="S134" i="1" s="1"/>
  <c r="P130" i="1"/>
  <c r="J130" i="1"/>
  <c r="J129" i="1"/>
  <c r="P129" i="1"/>
  <c r="P128" i="1"/>
  <c r="J128" i="1"/>
  <c r="P127" i="1"/>
  <c r="J127" i="1"/>
  <c r="P125" i="1"/>
  <c r="R125" i="1" s="1"/>
  <c r="S125" i="1" s="1"/>
  <c r="P124" i="1"/>
  <c r="R124" i="1" s="1"/>
  <c r="S124" i="1" s="1"/>
  <c r="P123" i="1"/>
  <c r="R123" i="1" s="1"/>
  <c r="S123" i="1" s="1"/>
  <c r="P122" i="1"/>
  <c r="R122" i="1" s="1"/>
  <c r="S122" i="1" s="1"/>
  <c r="P119" i="1"/>
  <c r="J119" i="1"/>
  <c r="J118" i="1"/>
  <c r="P117" i="1"/>
  <c r="J117" i="1"/>
  <c r="J116" i="1"/>
  <c r="P116" i="1"/>
  <c r="J115" i="1"/>
  <c r="J114" i="1"/>
  <c r="P114" i="1"/>
  <c r="J113" i="1"/>
  <c r="P110" i="1"/>
  <c r="R110" i="1" s="1"/>
  <c r="S110" i="1" s="1"/>
  <c r="J110" i="1"/>
  <c r="P109" i="1"/>
  <c r="R109" i="1" s="1"/>
  <c r="S109" i="1" s="1"/>
  <c r="P108" i="1"/>
  <c r="R108" i="1" s="1"/>
  <c r="S108" i="1" s="1"/>
  <c r="P107" i="1"/>
  <c r="R107" i="1" s="1"/>
  <c r="S107" i="1" s="1"/>
  <c r="P106" i="1"/>
  <c r="R106" i="1" s="1"/>
  <c r="S106" i="1" s="1"/>
  <c r="P105" i="1"/>
  <c r="R105" i="1" s="1"/>
  <c r="S105" i="1" s="1"/>
  <c r="P104" i="1"/>
  <c r="R104" i="1" s="1"/>
  <c r="S104" i="1" s="1"/>
  <c r="P103" i="1"/>
  <c r="R103" i="1" s="1"/>
  <c r="S103" i="1" s="1"/>
  <c r="P102" i="1"/>
  <c r="R102" i="1" s="1"/>
  <c r="S102" i="1" s="1"/>
  <c r="P101" i="1"/>
  <c r="R101" i="1" s="1"/>
  <c r="S101" i="1" s="1"/>
  <c r="P100" i="1"/>
  <c r="R100" i="1" s="1"/>
  <c r="S100" i="1" s="1"/>
  <c r="P99" i="1"/>
  <c r="R99" i="1" s="1"/>
  <c r="S99" i="1" s="1"/>
  <c r="P98" i="1"/>
  <c r="R98" i="1" s="1"/>
  <c r="S98" i="1" s="1"/>
  <c r="P97" i="1"/>
  <c r="R97" i="1" s="1"/>
  <c r="S97" i="1" s="1"/>
  <c r="P96" i="1"/>
  <c r="R96" i="1" s="1"/>
  <c r="S96" i="1" s="1"/>
  <c r="P92" i="1"/>
  <c r="R92" i="1" s="1"/>
  <c r="S92" i="1" s="1"/>
  <c r="P91" i="1"/>
  <c r="R91" i="1" s="1"/>
  <c r="S91" i="1" s="1"/>
  <c r="P86" i="1"/>
  <c r="R86" i="1" s="1"/>
  <c r="S86" i="1" s="1"/>
  <c r="P85" i="1"/>
  <c r="R85" i="1" s="1"/>
  <c r="S85" i="1" s="1"/>
  <c r="P84" i="1"/>
  <c r="R84" i="1" s="1"/>
  <c r="S84" i="1" s="1"/>
  <c r="P83" i="1"/>
  <c r="R83" i="1" s="1"/>
  <c r="S83" i="1" s="1"/>
  <c r="P82" i="1"/>
  <c r="R82" i="1" s="1"/>
  <c r="S82" i="1" s="1"/>
  <c r="P81" i="1"/>
  <c r="R81" i="1" s="1"/>
  <c r="S81" i="1" s="1"/>
  <c r="P77" i="1"/>
  <c r="R77" i="1" s="1"/>
  <c r="S77" i="1" s="1"/>
  <c r="P74" i="1"/>
  <c r="R74" i="1" s="1"/>
  <c r="S74" i="1" s="1"/>
  <c r="P73" i="1"/>
  <c r="R73" i="1" s="1"/>
  <c r="S73" i="1" s="1"/>
  <c r="P71" i="1"/>
  <c r="R71" i="1" s="1"/>
  <c r="S71" i="1" s="1"/>
  <c r="P69" i="1"/>
  <c r="R69" i="1" s="1"/>
  <c r="S69" i="1" s="1"/>
  <c r="P67" i="1"/>
  <c r="R67" i="1" s="1"/>
  <c r="S67" i="1" s="1"/>
  <c r="P65" i="1"/>
  <c r="R65" i="1" s="1"/>
  <c r="S65" i="1" s="1"/>
  <c r="P63" i="1"/>
  <c r="R63" i="1" s="1"/>
  <c r="S63" i="1" s="1"/>
  <c r="P62" i="1"/>
  <c r="R62" i="1" s="1"/>
  <c r="S62" i="1" s="1"/>
  <c r="P61" i="1"/>
  <c r="R61" i="1" s="1"/>
  <c r="S61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6" i="1"/>
  <c r="R56" i="1" s="1"/>
  <c r="S56" i="1" s="1"/>
  <c r="P54" i="1"/>
  <c r="R54" i="1" s="1"/>
  <c r="S54" i="1" s="1"/>
  <c r="P53" i="1"/>
  <c r="R53" i="1" s="1"/>
  <c r="S53" i="1" s="1"/>
  <c r="P51" i="1"/>
  <c r="R51" i="1" s="1"/>
  <c r="S51" i="1" s="1"/>
  <c r="P50" i="1"/>
  <c r="R50" i="1" s="1"/>
  <c r="S50" i="1" s="1"/>
  <c r="P49" i="1"/>
  <c r="R49" i="1" s="1"/>
  <c r="S49" i="1" s="1"/>
  <c r="P48" i="1"/>
  <c r="R48" i="1" s="1"/>
  <c r="S48" i="1" s="1"/>
  <c r="P45" i="1"/>
  <c r="R45" i="1" s="1"/>
  <c r="S45" i="1" s="1"/>
  <c r="P44" i="1"/>
  <c r="R44" i="1" s="1"/>
  <c r="S44" i="1" s="1"/>
  <c r="P43" i="1"/>
  <c r="R43" i="1" s="1"/>
  <c r="S43" i="1" s="1"/>
  <c r="P40" i="1"/>
  <c r="J40" i="1"/>
  <c r="P39" i="1"/>
  <c r="J39" i="1"/>
  <c r="P38" i="1"/>
  <c r="J38" i="1"/>
  <c r="P37" i="1"/>
  <c r="J37" i="1"/>
  <c r="P35" i="1"/>
  <c r="R35" i="1" s="1"/>
  <c r="S35" i="1" s="1"/>
  <c r="P30" i="1"/>
  <c r="J30" i="1"/>
  <c r="P29" i="1"/>
  <c r="J29" i="1"/>
  <c r="P28" i="1"/>
  <c r="J28" i="1"/>
  <c r="P26" i="1"/>
  <c r="R26" i="1" s="1"/>
  <c r="S26" i="1" s="1"/>
  <c r="P25" i="1"/>
  <c r="R25" i="1" s="1"/>
  <c r="S25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962" i="1" l="1"/>
  <c r="S962" i="1" s="1"/>
  <c r="R474" i="1"/>
  <c r="S474" i="1" s="1"/>
  <c r="R991" i="1"/>
  <c r="S991" i="1" s="1"/>
  <c r="R993" i="1"/>
  <c r="S993" i="1" s="1"/>
  <c r="R964" i="1"/>
  <c r="S964" i="1" s="1"/>
  <c r="R971" i="1"/>
  <c r="S971" i="1" s="1"/>
  <c r="R973" i="1"/>
  <c r="S973" i="1" s="1"/>
  <c r="R997" i="1"/>
  <c r="S997" i="1" s="1"/>
  <c r="R999" i="1"/>
  <c r="S999" i="1" s="1"/>
  <c r="R954" i="1"/>
  <c r="S954" i="1" s="1"/>
  <c r="R892" i="1"/>
  <c r="S892" i="1" s="1"/>
  <c r="R939" i="1"/>
  <c r="S939" i="1" s="1"/>
  <c r="R819" i="1"/>
  <c r="S819" i="1" s="1"/>
  <c r="R839" i="1"/>
  <c r="S839" i="1" s="1"/>
  <c r="R843" i="1"/>
  <c r="S843" i="1" s="1"/>
  <c r="R495" i="1"/>
  <c r="S495" i="1" s="1"/>
  <c r="R516" i="1"/>
  <c r="S516" i="1" s="1"/>
  <c r="R619" i="1"/>
  <c r="S619" i="1" s="1"/>
  <c r="R716" i="1"/>
  <c r="S716" i="1" s="1"/>
  <c r="R757" i="1"/>
  <c r="S757" i="1" s="1"/>
  <c r="R429" i="1"/>
  <c r="S429" i="1" s="1"/>
  <c r="R438" i="1"/>
  <c r="S438" i="1" s="1"/>
  <c r="R475" i="1"/>
  <c r="S475" i="1" s="1"/>
  <c r="R482" i="1"/>
  <c r="S482" i="1" s="1"/>
  <c r="R494" i="1"/>
  <c r="S494" i="1" s="1"/>
  <c r="R517" i="1"/>
  <c r="S517" i="1" s="1"/>
  <c r="R820" i="1"/>
  <c r="S820" i="1" s="1"/>
  <c r="R840" i="1"/>
  <c r="S840" i="1" s="1"/>
  <c r="R547" i="1"/>
  <c r="S547" i="1" s="1"/>
  <c r="R762" i="1"/>
  <c r="S762" i="1" s="1"/>
  <c r="R171" i="1"/>
  <c r="S171" i="1" s="1"/>
  <c r="R255" i="1"/>
  <c r="S255" i="1" s="1"/>
  <c r="R334" i="1"/>
  <c r="S334" i="1" s="1"/>
  <c r="R558" i="1"/>
  <c r="S558" i="1" s="1"/>
  <c r="R354" i="1"/>
  <c r="S354" i="1" s="1"/>
  <c r="R355" i="1"/>
  <c r="S355" i="1" s="1"/>
  <c r="R357" i="1"/>
  <c r="S357" i="1" s="1"/>
  <c r="R361" i="1"/>
  <c r="S361" i="1" s="1"/>
  <c r="R559" i="1"/>
  <c r="S559" i="1" s="1"/>
  <c r="R250" i="1"/>
  <c r="S250" i="1" s="1"/>
  <c r="R288" i="1"/>
  <c r="S288" i="1" s="1"/>
  <c r="R676" i="1"/>
  <c r="S676" i="1" s="1"/>
  <c r="R116" i="1"/>
  <c r="S116" i="1" s="1"/>
  <c r="R188" i="1"/>
  <c r="S188" i="1" s="1"/>
  <c r="R190" i="1"/>
  <c r="S190" i="1" s="1"/>
  <c r="R192" i="1"/>
  <c r="S192" i="1" s="1"/>
  <c r="R196" i="1"/>
  <c r="S196" i="1" s="1"/>
  <c r="R303" i="1"/>
  <c r="S303" i="1" s="1"/>
  <c r="R417" i="1"/>
  <c r="S417" i="1" s="1"/>
  <c r="R419" i="1"/>
  <c r="S419" i="1" s="1"/>
  <c r="R170" i="1"/>
  <c r="S170" i="1" s="1"/>
  <c r="R356" i="1"/>
  <c r="S356" i="1" s="1"/>
  <c r="R360" i="1"/>
  <c r="S360" i="1" s="1"/>
  <c r="R365" i="1"/>
  <c r="S365" i="1" s="1"/>
  <c r="R630" i="1"/>
  <c r="S630" i="1" s="1"/>
  <c r="R635" i="1"/>
  <c r="S635" i="1" s="1"/>
  <c r="R644" i="1"/>
  <c r="S644" i="1" s="1"/>
  <c r="R673" i="1"/>
  <c r="S673" i="1" s="1"/>
  <c r="R679" i="1"/>
  <c r="S679" i="1" s="1"/>
  <c r="R715" i="1"/>
  <c r="S715" i="1" s="1"/>
  <c r="R127" i="1"/>
  <c r="S127" i="1" s="1"/>
  <c r="R119" i="1"/>
  <c r="S119" i="1" s="1"/>
  <c r="R128" i="1"/>
  <c r="S128" i="1" s="1"/>
  <c r="R169" i="1"/>
  <c r="S169" i="1" s="1"/>
  <c r="R174" i="1"/>
  <c r="S174" i="1" s="1"/>
  <c r="R197" i="1"/>
  <c r="S197" i="1" s="1"/>
  <c r="R305" i="1"/>
  <c r="S305" i="1" s="1"/>
  <c r="R416" i="1"/>
  <c r="S416" i="1" s="1"/>
  <c r="R418" i="1"/>
  <c r="S418" i="1" s="1"/>
  <c r="R421" i="1"/>
  <c r="S421" i="1" s="1"/>
  <c r="R434" i="1"/>
  <c r="S434" i="1" s="1"/>
  <c r="R439" i="1"/>
  <c r="S439" i="1" s="1"/>
  <c r="R674" i="1"/>
  <c r="S674" i="1" s="1"/>
  <c r="R886" i="1"/>
  <c r="S886" i="1" s="1"/>
  <c r="R13" i="1"/>
  <c r="S13" i="1" s="1"/>
  <c r="R155" i="1"/>
  <c r="S155" i="1" s="1"/>
  <c r="R157" i="1"/>
  <c r="S157" i="1" s="1"/>
  <c r="R176" i="1"/>
  <c r="S176" i="1" s="1"/>
  <c r="R178" i="1"/>
  <c r="S178" i="1" s="1"/>
  <c r="R473" i="1"/>
  <c r="S473" i="1" s="1"/>
  <c r="R627" i="1"/>
  <c r="S627" i="1" s="1"/>
  <c r="R643" i="1"/>
  <c r="S643" i="1" s="1"/>
  <c r="R647" i="1"/>
  <c r="S647" i="1" s="1"/>
  <c r="R681" i="1"/>
  <c r="S681" i="1" s="1"/>
  <c r="R685" i="1"/>
  <c r="S685" i="1" s="1"/>
  <c r="R761" i="1"/>
  <c r="S761" i="1" s="1"/>
  <c r="R763" i="1"/>
  <c r="S763" i="1" s="1"/>
  <c r="R765" i="1"/>
  <c r="S765" i="1" s="1"/>
  <c r="R794" i="1"/>
  <c r="S794" i="1" s="1"/>
  <c r="R806" i="1"/>
  <c r="S806" i="1" s="1"/>
  <c r="R809" i="1"/>
  <c r="S809" i="1" s="1"/>
  <c r="R850" i="1"/>
  <c r="S850" i="1" s="1"/>
  <c r="R857" i="1"/>
  <c r="S857" i="1" s="1"/>
  <c r="R953" i="1"/>
  <c r="S953" i="1" s="1"/>
  <c r="R963" i="1"/>
  <c r="S963" i="1" s="1"/>
  <c r="R965" i="1"/>
  <c r="S965" i="1" s="1"/>
  <c r="R970" i="1"/>
  <c r="S970" i="1" s="1"/>
  <c r="R972" i="1"/>
  <c r="S972" i="1" s="1"/>
  <c r="R974" i="1"/>
  <c r="S974" i="1" s="1"/>
  <c r="R548" i="1"/>
  <c r="S548" i="1" s="1"/>
  <c r="R620" i="1"/>
  <c r="S620" i="1" s="1"/>
  <c r="R626" i="1"/>
  <c r="S626" i="1" s="1"/>
  <c r="R758" i="1"/>
  <c r="S758" i="1" s="1"/>
  <c r="R889" i="1"/>
  <c r="S889" i="1" s="1"/>
  <c r="R891" i="1"/>
  <c r="S891" i="1" s="1"/>
  <c r="R938" i="1"/>
  <c r="S938" i="1" s="1"/>
  <c r="R154" i="1"/>
  <c r="S154" i="1" s="1"/>
  <c r="R160" i="1"/>
  <c r="S160" i="1" s="1"/>
  <c r="R173" i="1"/>
  <c r="S173" i="1" s="1"/>
  <c r="R177" i="1"/>
  <c r="S177" i="1" s="1"/>
  <c r="R179" i="1"/>
  <c r="S179" i="1" s="1"/>
  <c r="R221" i="1"/>
  <c r="S221" i="1" s="1"/>
  <c r="R233" i="1"/>
  <c r="S233" i="1" s="1"/>
  <c r="R412" i="1"/>
  <c r="S412" i="1" s="1"/>
  <c r="R566" i="1"/>
  <c r="S566" i="1" s="1"/>
  <c r="R682" i="1"/>
  <c r="S682" i="1" s="1"/>
  <c r="R764" i="1"/>
  <c r="S764" i="1" s="1"/>
  <c r="R766" i="1"/>
  <c r="S766" i="1" s="1"/>
  <c r="R807" i="1"/>
  <c r="S807" i="1" s="1"/>
  <c r="R810" i="1"/>
  <c r="S810" i="1" s="1"/>
  <c r="R849" i="1"/>
  <c r="S849" i="1" s="1"/>
  <c r="R15" i="1"/>
  <c r="S15" i="1" s="1"/>
  <c r="R29" i="1"/>
  <c r="S29" i="1" s="1"/>
  <c r="R38" i="1"/>
  <c r="S38" i="1" s="1"/>
  <c r="R117" i="1"/>
  <c r="S117" i="1" s="1"/>
  <c r="R129" i="1"/>
  <c r="S129" i="1" s="1"/>
  <c r="R144" i="1"/>
  <c r="S144" i="1" s="1"/>
  <c r="R150" i="1"/>
  <c r="S150" i="1" s="1"/>
  <c r="R153" i="1"/>
  <c r="S153" i="1" s="1"/>
  <c r="R161" i="1"/>
  <c r="S161" i="1" s="1"/>
  <c r="R167" i="1"/>
  <c r="S167" i="1" s="1"/>
  <c r="R168" i="1"/>
  <c r="S168" i="1" s="1"/>
  <c r="R180" i="1"/>
  <c r="S180" i="1" s="1"/>
  <c r="R182" i="1"/>
  <c r="S182" i="1" s="1"/>
  <c r="R184" i="1"/>
  <c r="S184" i="1" s="1"/>
  <c r="R186" i="1"/>
  <c r="S186" i="1" s="1"/>
  <c r="R219" i="1"/>
  <c r="S219" i="1" s="1"/>
  <c r="R223" i="1"/>
  <c r="S223" i="1" s="1"/>
  <c r="R253" i="1"/>
  <c r="S253" i="1" s="1"/>
  <c r="R276" i="1"/>
  <c r="S276" i="1" s="1"/>
  <c r="R278" i="1"/>
  <c r="S278" i="1" s="1"/>
  <c r="R306" i="1"/>
  <c r="S306" i="1" s="1"/>
  <c r="R309" i="1"/>
  <c r="S309" i="1" s="1"/>
  <c r="R315" i="1"/>
  <c r="S315" i="1" s="1"/>
  <c r="R335" i="1"/>
  <c r="S335" i="1" s="1"/>
  <c r="R339" i="1"/>
  <c r="S339" i="1" s="1"/>
  <c r="R423" i="1"/>
  <c r="S423" i="1" s="1"/>
  <c r="R425" i="1"/>
  <c r="S425" i="1" s="1"/>
  <c r="R428" i="1"/>
  <c r="S428" i="1" s="1"/>
  <c r="R437" i="1"/>
  <c r="S437" i="1" s="1"/>
  <c r="R458" i="1"/>
  <c r="S458" i="1" s="1"/>
  <c r="R484" i="1"/>
  <c r="S484" i="1" s="1"/>
  <c r="R552" i="1"/>
  <c r="S552" i="1" s="1"/>
  <c r="R554" i="1"/>
  <c r="S554" i="1" s="1"/>
  <c r="R556" i="1"/>
  <c r="S556" i="1" s="1"/>
  <c r="R560" i="1"/>
  <c r="S560" i="1" s="1"/>
  <c r="R564" i="1"/>
  <c r="S564" i="1" s="1"/>
  <c r="R568" i="1"/>
  <c r="S568" i="1" s="1"/>
  <c r="R570" i="1"/>
  <c r="S570" i="1" s="1"/>
  <c r="R671" i="1"/>
  <c r="S671" i="1" s="1"/>
  <c r="R686" i="1"/>
  <c r="S686" i="1" s="1"/>
  <c r="R712" i="1"/>
  <c r="S712" i="1" s="1"/>
  <c r="R760" i="1"/>
  <c r="S760" i="1" s="1"/>
  <c r="R805" i="1"/>
  <c r="S805" i="1" s="1"/>
  <c r="R811" i="1"/>
  <c r="S811" i="1" s="1"/>
  <c r="R846" i="1"/>
  <c r="S846" i="1" s="1"/>
  <c r="R863" i="1"/>
  <c r="S863" i="1" s="1"/>
  <c r="R876" i="1"/>
  <c r="S876" i="1" s="1"/>
  <c r="R878" i="1"/>
  <c r="S878" i="1" s="1"/>
  <c r="R880" i="1"/>
  <c r="S880" i="1" s="1"/>
  <c r="R885" i="1"/>
  <c r="S885" i="1" s="1"/>
  <c r="R890" i="1"/>
  <c r="S890" i="1" s="1"/>
  <c r="R908" i="1"/>
  <c r="S908" i="1" s="1"/>
  <c r="R910" i="1"/>
  <c r="S910" i="1" s="1"/>
  <c r="R942" i="1"/>
  <c r="S942" i="1" s="1"/>
  <c r="R996" i="1"/>
  <c r="S996" i="1" s="1"/>
  <c r="R998" i="1"/>
  <c r="S998" i="1" s="1"/>
  <c r="R992" i="1"/>
  <c r="S992" i="1" s="1"/>
  <c r="R994" i="1"/>
  <c r="S994" i="1" s="1"/>
  <c r="R39" i="1"/>
  <c r="S39" i="1" s="1"/>
  <c r="R40" i="1"/>
  <c r="S40" i="1" s="1"/>
  <c r="R114" i="1"/>
  <c r="S114" i="1" s="1"/>
  <c r="R143" i="1"/>
  <c r="S143" i="1" s="1"/>
  <c r="R151" i="1"/>
  <c r="S151" i="1" s="1"/>
  <c r="R156" i="1"/>
  <c r="S156" i="1" s="1"/>
  <c r="R181" i="1"/>
  <c r="S181" i="1" s="1"/>
  <c r="R183" i="1"/>
  <c r="S183" i="1" s="1"/>
  <c r="R185" i="1"/>
  <c r="S185" i="1" s="1"/>
  <c r="R187" i="1"/>
  <c r="S187" i="1" s="1"/>
  <c r="R218" i="1"/>
  <c r="S218" i="1" s="1"/>
  <c r="R222" i="1"/>
  <c r="S222" i="1" s="1"/>
  <c r="R277" i="1"/>
  <c r="S277" i="1" s="1"/>
  <c r="R312" i="1"/>
  <c r="S312" i="1" s="1"/>
  <c r="R336" i="1"/>
  <c r="S336" i="1" s="1"/>
  <c r="R340" i="1"/>
  <c r="S340" i="1" s="1"/>
  <c r="R398" i="1"/>
  <c r="S398" i="1" s="1"/>
  <c r="R399" i="1"/>
  <c r="S399" i="1" s="1"/>
  <c r="R435" i="1"/>
  <c r="S435" i="1" s="1"/>
  <c r="R457" i="1"/>
  <c r="S457" i="1" s="1"/>
  <c r="R459" i="1"/>
  <c r="S459" i="1" s="1"/>
  <c r="R553" i="1"/>
  <c r="S553" i="1" s="1"/>
  <c r="R557" i="1"/>
  <c r="S557" i="1" s="1"/>
  <c r="R563" i="1"/>
  <c r="S563" i="1" s="1"/>
  <c r="R565" i="1"/>
  <c r="S565" i="1" s="1"/>
  <c r="R567" i="1"/>
  <c r="S567" i="1" s="1"/>
  <c r="R625" i="1"/>
  <c r="S625" i="1" s="1"/>
  <c r="R672" i="1"/>
  <c r="S672" i="1" s="1"/>
  <c r="R678" i="1"/>
  <c r="S678" i="1" s="1"/>
  <c r="R680" i="1"/>
  <c r="S680" i="1" s="1"/>
  <c r="R759" i="1"/>
  <c r="S759" i="1" s="1"/>
  <c r="R812" i="1"/>
  <c r="S812" i="1" s="1"/>
  <c r="R874" i="1"/>
  <c r="S874" i="1" s="1"/>
  <c r="R875" i="1"/>
  <c r="S875" i="1" s="1"/>
  <c r="R879" i="1"/>
  <c r="S879" i="1" s="1"/>
  <c r="R881" i="1"/>
  <c r="S881" i="1" s="1"/>
  <c r="R887" i="1"/>
  <c r="S887" i="1" s="1"/>
  <c r="R909" i="1"/>
  <c r="S909" i="1" s="1"/>
  <c r="R935" i="1"/>
  <c r="S935" i="1" s="1"/>
  <c r="R164" i="1"/>
  <c r="S164" i="1" s="1"/>
  <c r="R775" i="1"/>
  <c r="S775" i="1" s="1"/>
  <c r="R130" i="1"/>
  <c r="S130" i="1" s="1"/>
  <c r="R430" i="1"/>
  <c r="S430" i="1" s="1"/>
  <c r="R432" i="1"/>
  <c r="S432" i="1" s="1"/>
  <c r="R561" i="1"/>
  <c r="S561" i="1" s="1"/>
  <c r="R211" i="1"/>
  <c r="S211" i="1" s="1"/>
  <c r="R835" i="1"/>
  <c r="S835" i="1" s="1"/>
  <c r="R884" i="1"/>
  <c r="S884" i="1" s="1"/>
  <c r="R304" i="1"/>
  <c r="S304" i="1" s="1"/>
  <c r="R424" i="1"/>
  <c r="S424" i="1" s="1"/>
  <c r="R28" i="1"/>
  <c r="S28" i="1" s="1"/>
  <c r="R30" i="1"/>
  <c r="S30" i="1" s="1"/>
  <c r="R146" i="1"/>
  <c r="S146" i="1" s="1"/>
  <c r="R162" i="1"/>
  <c r="S162" i="1" s="1"/>
  <c r="R166" i="1"/>
  <c r="S166" i="1" s="1"/>
  <c r="R307" i="1"/>
  <c r="S307" i="1" s="1"/>
  <c r="R431" i="1"/>
  <c r="S431" i="1" s="1"/>
  <c r="R433" i="1"/>
  <c r="S433" i="1" s="1"/>
  <c r="R189" i="1"/>
  <c r="S189" i="1" s="1"/>
  <c r="R191" i="1"/>
  <c r="S191" i="1" s="1"/>
  <c r="R193" i="1"/>
  <c r="S193" i="1" s="1"/>
  <c r="R212" i="1"/>
  <c r="S212" i="1" s="1"/>
  <c r="R235" i="1"/>
  <c r="S235" i="1" s="1"/>
  <c r="R289" i="1"/>
  <c r="S289" i="1" s="1"/>
  <c r="R404" i="1"/>
  <c r="S404" i="1" s="1"/>
  <c r="R406" i="1"/>
  <c r="S406" i="1" s="1"/>
  <c r="R668" i="1"/>
  <c r="S668" i="1" s="1"/>
  <c r="R683" i="1"/>
  <c r="S683" i="1" s="1"/>
  <c r="R804" i="1"/>
  <c r="S804" i="1" s="1"/>
  <c r="R735" i="1"/>
  <c r="S735" i="1" s="1"/>
  <c r="R836" i="1"/>
  <c r="S836" i="1" s="1"/>
  <c r="R883" i="1"/>
  <c r="S883" i="1" s="1"/>
  <c r="R260" i="1"/>
  <c r="S260" i="1" s="1"/>
  <c r="R405" i="1"/>
  <c r="S405" i="1" s="1"/>
  <c r="R512" i="1"/>
  <c r="S512" i="1" s="1"/>
  <c r="R569" i="1"/>
  <c r="S569" i="1" s="1"/>
  <c r="R670" i="1"/>
  <c r="S670" i="1" s="1"/>
  <c r="R675" i="1"/>
  <c r="S675" i="1" s="1"/>
  <c r="R684" i="1"/>
  <c r="S684" i="1" s="1"/>
  <c r="R687" i="1"/>
  <c r="S687" i="1" s="1"/>
  <c r="R713" i="1"/>
  <c r="S713" i="1" s="1"/>
  <c r="R844" i="1"/>
  <c r="S844" i="1" s="1"/>
  <c r="P152" i="1"/>
  <c r="R152" i="1" s="1"/>
  <c r="S152" i="1" s="1"/>
  <c r="R220" i="1"/>
  <c r="S220" i="1" s="1"/>
  <c r="P113" i="1"/>
  <c r="R113" i="1" s="1"/>
  <c r="S113" i="1" s="1"/>
  <c r="P254" i="1"/>
  <c r="R254" i="1" s="1"/>
  <c r="S254" i="1" s="1"/>
  <c r="R37" i="1"/>
  <c r="S37" i="1" s="1"/>
  <c r="P115" i="1"/>
  <c r="R115" i="1" s="1"/>
  <c r="S115" i="1" s="1"/>
  <c r="P118" i="1"/>
  <c r="R118" i="1" s="1"/>
  <c r="S118" i="1" s="1"/>
  <c r="R267" i="1"/>
  <c r="S267" i="1" s="1"/>
  <c r="R308" i="1"/>
  <c r="S308" i="1" s="1"/>
  <c r="P402" i="1"/>
  <c r="R402" i="1" s="1"/>
  <c r="S402" i="1" s="1"/>
  <c r="R483" i="1"/>
  <c r="S483" i="1" s="1"/>
  <c r="R268" i="1"/>
  <c r="S268" i="1" s="1"/>
  <c r="R460" i="1"/>
  <c r="S460" i="1" s="1"/>
  <c r="R551" i="1"/>
  <c r="S551" i="1" s="1"/>
  <c r="R550" i="1"/>
  <c r="S550" i="1" s="1"/>
  <c r="P660" i="1"/>
  <c r="R660" i="1" s="1"/>
  <c r="S660" i="1" s="1"/>
  <c r="R733" i="1"/>
  <c r="S733" i="1" s="1"/>
  <c r="R808" i="1"/>
  <c r="S808" i="1" s="1"/>
  <c r="R555" i="1"/>
  <c r="S555" i="1" s="1"/>
  <c r="R575" i="1"/>
  <c r="S575" i="1" s="1"/>
  <c r="R636" i="1"/>
  <c r="S636" i="1" s="1"/>
  <c r="R934" i="1"/>
  <c r="S934" i="1" s="1"/>
  <c r="R877" i="1"/>
  <c r="S877" i="1" s="1"/>
  <c r="P927" i="1"/>
  <c r="R927" i="1" s="1"/>
  <c r="S927" i="1" s="1"/>
  <c r="S1012" i="1" l="1"/>
  <c r="R1012" i="1"/>
</calcChain>
</file>

<file path=xl/sharedStrings.xml><?xml version="1.0" encoding="utf-8"?>
<sst xmlns="http://schemas.openxmlformats.org/spreadsheetml/2006/main" count="6182" uniqueCount="867">
  <si>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</si>
  <si>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</si>
  <si>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</si>
  <si>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</si>
  <si>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</si>
  <si>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</si>
  <si>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</si>
  <si>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</si>
  <si>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</si>
  <si>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</si>
  <si>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</si>
  <si>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</si>
  <si>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</si>
  <si>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</si>
  <si>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</si>
  <si>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</si>
  <si>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</si>
  <si>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</si>
  <si>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</si>
  <si>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</si>
  <si>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</si>
  <si>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</si>
  <si>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</si>
  <si>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</si>
  <si>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</si>
  <si>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</si>
  <si>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</si>
  <si>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</si>
  <si>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</si>
  <si>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</si>
  <si>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</si>
  <si>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</si>
  <si>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</si>
  <si>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</si>
  <si>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B-24 (isi 12 pc)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</si>
  <si>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</si>
  <si>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</si>
  <si>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</si>
  <si>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</si>
  <si>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</si>
  <si>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</si>
  <si>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</si>
  <si>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</si>
  <si>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</si>
  <si>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</si>
  <si>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</si>
  <si>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</si>
  <si>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</si>
  <si>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</si>
  <si>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</si>
  <si>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</si>
  <si>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</si>
  <si>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</si>
  <si>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</si>
  <si>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</si>
  <si>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</si>
  <si>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</si>
  <si>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</si>
  <si>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</si>
  <si>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</si>
  <si>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</si>
  <si>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</si>
  <si>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</si>
  <si>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</si>
  <si>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</si>
  <si>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</si>
  <si>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</si>
  <si>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</si>
  <si>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</si>
  <si>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</si>
  <si>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</si>
  <si>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</si>
  <si>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</si>
  <si>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</si>
  <si>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</si>
  <si>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</si>
  <si>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</si>
  <si>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</si>
  <si>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</si>
  <si>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</si>
  <si>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</si>
  <si>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</si>
  <si>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</si>
  <si>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</si>
  <si>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</si>
  <si>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</si>
  <si>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</si>
  <si>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</si>
  <si>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</si>
  <si>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</si>
  <si>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</si>
  <si>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</si>
  <si>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</si>
  <si>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</si>
  <si>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</si>
  <si>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</si>
  <si>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</si>
  <si>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</si>
  <si>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</si>
  <si>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</si>
  <si>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</si>
  <si>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</si>
  <si>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</si>
  <si>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</si>
  <si>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</si>
  <si>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</si>
  <si>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</si>
  <si>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</si>
  <si>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</si>
  <si>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</si>
  <si>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</si>
  <si>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</si>
  <si>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</si>
  <si>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</si>
  <si>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</si>
  <si>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</si>
  <si>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</si>
  <si>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</si>
  <si>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</si>
  <si>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</si>
  <si>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</si>
  <si>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</si>
  <si>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</si>
  <si>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</si>
  <si>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</si>
  <si>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</si>
  <si>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</si>
  <si>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</si>
  <si>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</si>
  <si>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</si>
  <si>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</si>
  <si>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</si>
  <si>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</si>
  <si>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</si>
  <si>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</si>
  <si>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</si>
  <si>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</si>
  <si>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</si>
  <si>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</si>
  <si>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</si>
  <si>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</si>
  <si>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</si>
  <si>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</si>
  <si>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CT-634 DT (8M x 5MM)</t>
  </si>
  <si>
    <t>CORRECTION TAPE KENKO CT-634N (8M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</si>
  <si>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</si>
  <si>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</si>
  <si>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</si>
  <si>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</si>
  <si>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 (12M x 5MM)</t>
  </si>
  <si>
    <t>CORRECTION TAPE KENKO CT-902P (12M x 5MM) TRANSPARAN</t>
  </si>
  <si>
    <t>CORRECTION TAPE KENKO CT-902 DT (12M x 5MM)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</si>
  <si>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</si>
  <si>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</si>
  <si>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</si>
  <si>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</si>
  <si>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</si>
  <si>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</si>
  <si>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</si>
  <si>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</si>
  <si>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</si>
  <si>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</si>
  <si>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</si>
  <si>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</si>
  <si>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</si>
  <si>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</si>
  <si>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</si>
  <si>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</si>
  <si>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</si>
  <si>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</si>
  <si>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</si>
  <si>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</si>
  <si>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</si>
  <si>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</si>
  <si>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</si>
  <si>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</si>
  <si>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</si>
  <si>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</si>
  <si>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</si>
  <si>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</si>
  <si>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</si>
  <si>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</si>
  <si>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</si>
  <si>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</si>
  <si>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</si>
  <si>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</si>
  <si>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</si>
  <si>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</si>
  <si>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</si>
  <si>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</si>
  <si>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</si>
  <si>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</si>
  <si>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</si>
  <si>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</si>
  <si>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</si>
  <si>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</si>
  <si>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</si>
  <si>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</si>
  <si>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</si>
  <si>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</si>
  <si>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</si>
  <si>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</si>
  <si>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</si>
  <si>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</si>
  <si>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</si>
  <si>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</si>
  <si>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</si>
  <si>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</si>
  <si>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</si>
  <si>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</si>
  <si>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</si>
  <si>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</si>
  <si>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</si>
  <si>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</si>
  <si>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</si>
  <si>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</si>
  <si>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</si>
  <si>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</si>
  <si>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</si>
  <si>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</si>
  <si>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</si>
  <si>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</si>
  <si>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</si>
  <si>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</si>
  <si>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</si>
  <si>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</si>
  <si>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</si>
  <si>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</si>
  <si>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</si>
  <si>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</si>
  <si>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</si>
  <si>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</si>
  <si>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</si>
  <si>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</si>
  <si>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</si>
  <si>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</si>
  <si>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</si>
  <si>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</si>
  <si>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</si>
  <si>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</si>
  <si>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</si>
  <si>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</si>
  <si>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</si>
  <si>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</si>
  <si>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</si>
  <si>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</si>
  <si>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</si>
  <si>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</si>
  <si>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</si>
  <si>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</si>
  <si>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</si>
  <si>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</si>
  <si>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</si>
  <si>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</si>
  <si>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</si>
  <si>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</si>
  <si>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</si>
  <si>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</si>
  <si>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</si>
  <si>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</si>
  <si>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</si>
  <si>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</si>
  <si>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</si>
  <si>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</si>
  <si>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</si>
  <si>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</si>
  <si>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</si>
  <si>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</si>
  <si>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</si>
  <si>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</si>
  <si>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</si>
  <si>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</si>
  <si>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</si>
  <si>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</si>
  <si>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</si>
  <si>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</si>
  <si>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</si>
  <si>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</si>
  <si>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</si>
  <si>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</si>
  <si>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</si>
  <si>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</si>
  <si>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</si>
  <si>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</si>
  <si>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</si>
  <si>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</si>
  <si>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</si>
  <si>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</si>
  <si>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</si>
  <si>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</si>
  <si>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</si>
  <si>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</si>
  <si>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</si>
  <si>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</si>
  <si>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</si>
  <si>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</si>
  <si>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</si>
  <si>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</si>
  <si>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</si>
  <si>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</si>
  <si>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</si>
  <si>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</si>
  <si>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</si>
  <si>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</si>
  <si>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</si>
  <si>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</si>
  <si>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</si>
  <si>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</si>
  <si>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</si>
  <si>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</si>
  <si>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</si>
  <si>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</si>
  <si>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</si>
  <si>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</si>
  <si>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</si>
  <si>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</si>
  <si>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</si>
  <si>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</si>
  <si>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</si>
  <si>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</si>
  <si>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</si>
  <si>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</si>
  <si>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</si>
  <si>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</si>
  <si>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</si>
  <si>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</si>
  <si>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</si>
  <si>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</si>
  <si>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</si>
  <si>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</si>
  <si>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</si>
  <si>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</si>
  <si>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</si>
  <si>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</si>
  <si>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</si>
  <si>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</si>
  <si>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</si>
  <si>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</si>
  <si>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</si>
  <si>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</si>
  <si>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</si>
  <si>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</si>
  <si>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</si>
  <si>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</si>
  <si>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</si>
  <si>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</si>
  <si>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</si>
  <si>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</si>
  <si>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</si>
  <si>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</si>
  <si>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</si>
  <si>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</si>
  <si>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</si>
  <si>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</si>
  <si>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</si>
  <si>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</si>
  <si>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</si>
  <si>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</si>
  <si>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</si>
  <si>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</si>
  <si>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</si>
  <si>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</si>
  <si>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</si>
  <si>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</si>
  <si>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</si>
  <si>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</si>
  <si>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</si>
  <si>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</si>
  <si>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</si>
  <si>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</si>
  <si>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</si>
  <si>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</si>
  <si>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</si>
  <si>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</si>
  <si>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</si>
  <si>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</si>
  <si>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</si>
  <si>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</si>
  <si>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</si>
  <si>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</si>
  <si>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</si>
  <si>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</si>
  <si>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</si>
  <si>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</si>
  <si>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</si>
  <si>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</si>
  <si>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</si>
  <si>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</si>
  <si>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</si>
  <si>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</si>
  <si>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</si>
  <si>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</si>
  <si>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</si>
  <si>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</si>
  <si>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</si>
  <si>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</si>
  <si>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</si>
  <si>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</si>
  <si>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</si>
  <si>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</si>
  <si>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</si>
  <si>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</si>
  <si>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</si>
  <si>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</si>
  <si>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</si>
  <si>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</si>
  <si>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</si>
  <si>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</si>
  <si>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</si>
  <si>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</si>
  <si>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</si>
  <si>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TIZO TG-31763-DL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</si>
  <si>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</si>
  <si>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</si>
  <si>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</si>
  <si>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</si>
  <si>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</si>
  <si>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</si>
  <si>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</si>
  <si>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</si>
  <si>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</si>
  <si>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</si>
  <si>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</si>
  <si>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</si>
  <si>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</si>
  <si>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</si>
  <si>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</si>
  <si>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</si>
  <si>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</si>
  <si>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</si>
  <si>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</si>
  <si>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</si>
  <si>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</si>
  <si>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</si>
  <si>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</si>
  <si>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</si>
  <si>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</si>
  <si>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</si>
  <si>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</si>
  <si>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</si>
  <si>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</si>
  <si>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</si>
  <si>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</si>
  <si>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</si>
  <si>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</si>
  <si>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</si>
  <si>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</si>
  <si>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</si>
  <si>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</si>
  <si>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</si>
  <si>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</si>
  <si>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</si>
  <si>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</si>
  <si>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</si>
  <si>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</si>
  <si>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</si>
  <si>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</si>
  <si>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</si>
  <si>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</si>
  <si>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</si>
  <si>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</si>
  <si>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</si>
  <si>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</si>
  <si>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</si>
  <si>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</si>
  <si>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</si>
  <si>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</si>
  <si>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</si>
  <si>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</si>
  <si>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</si>
  <si>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</si>
  <si>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</si>
  <si>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</si>
  <si>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</si>
  <si>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</si>
  <si>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</si>
  <si>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</si>
  <si>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</si>
  <si>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</si>
  <si>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</si>
  <si>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</si>
  <si>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</si>
  <si>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</si>
  <si>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</si>
  <si>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</si>
  <si>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</si>
  <si>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</si>
  <si>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</si>
  <si>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</si>
  <si>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</si>
  <si>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</si>
  <si>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</si>
  <si>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</si>
  <si>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</si>
  <si>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</si>
  <si>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</si>
  <si>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</si>
  <si>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</si>
  <si>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</si>
  <si>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</si>
  <si>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</si>
  <si>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</si>
  <si>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</si>
  <si>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</si>
  <si>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</si>
  <si>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</si>
  <si>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</si>
  <si>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</si>
  <si>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</si>
  <si>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</si>
  <si>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</si>
  <si>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</si>
  <si>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</si>
  <si>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</si>
  <si>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</si>
  <si>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</si>
  <si>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</si>
  <si>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</si>
  <si>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</si>
  <si>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</si>
  <si>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</si>
  <si>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</si>
  <si>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</si>
  <si>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</si>
  <si>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</si>
  <si>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</si>
  <si>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</si>
  <si>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</si>
  <si>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</si>
  <si>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</si>
  <si>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</si>
  <si>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</si>
  <si>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</si>
  <si>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</si>
  <si>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</si>
  <si>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</si>
  <si>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</si>
  <si>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</si>
  <si>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</si>
  <si>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</si>
  <si>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</si>
  <si>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</si>
  <si>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</si>
  <si>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</si>
  <si>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</si>
  <si>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</si>
  <si>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</si>
  <si>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</si>
  <si>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</si>
  <si>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</si>
  <si>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</si>
  <si>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</si>
  <si>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</si>
  <si>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</si>
  <si>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</si>
  <si>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</si>
  <si>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</si>
  <si>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</si>
  <si>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</si>
  <si>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</si>
  <si>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</si>
  <si>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</si>
  <si>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</si>
  <si>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</si>
  <si>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</si>
  <si>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</si>
  <si>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</si>
  <si>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</si>
  <si>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</si>
  <si>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</si>
  <si>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</si>
  <si>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</si>
  <si>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</si>
  <si>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</si>
  <si>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</si>
  <si>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</si>
  <si>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</si>
  <si>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</si>
  <si>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</si>
  <si>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</si>
  <si>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</si>
  <si>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</si>
  <si>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</si>
  <si>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</si>
  <si>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</si>
  <si>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</si>
  <si>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</si>
  <si>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</si>
  <si>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</si>
  <si>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</si>
  <si>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</si>
  <si>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</si>
  <si>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</si>
  <si>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</si>
  <si>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</si>
  <si>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</si>
  <si>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</si>
  <si>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</si>
  <si>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</si>
  <si>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</si>
  <si>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</si>
  <si>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</si>
  <si>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</si>
  <si>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</si>
  <si>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</si>
  <si>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</si>
  <si>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</si>
  <si>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</si>
  <si>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</si>
  <si>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</si>
  <si>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</si>
  <si>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</si>
  <si>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</si>
  <si>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</si>
  <si>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</si>
  <si>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</si>
  <si>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</si>
  <si>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</si>
  <si>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</si>
  <si>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</si>
  <si>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</si>
  <si>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</si>
  <si>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</si>
  <si>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</si>
  <si>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</si>
  <si>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</si>
  <si>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</si>
  <si>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</si>
  <si>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</si>
  <si>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</si>
  <si>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</si>
  <si>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</si>
  <si>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</si>
  <si>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</si>
  <si>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</si>
  <si>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</si>
  <si>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</si>
  <si>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</si>
  <si>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</si>
  <si>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</si>
  <si>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</si>
  <si>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</si>
  <si>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</si>
  <si>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</si>
  <si>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</si>
  <si>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</si>
  <si>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</si>
  <si>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</si>
  <si>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</si>
  <si>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</si>
  <si>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</si>
  <si>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</si>
  <si>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</si>
  <si>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</si>
  <si>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</si>
  <si>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</si>
  <si>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</si>
  <si>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</si>
  <si>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</si>
  <si>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</si>
  <si>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</si>
  <si>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</si>
  <si>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</si>
  <si>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</si>
  <si>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</si>
  <si>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</si>
  <si>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</si>
  <si>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</si>
  <si>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</si>
  <si>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</si>
  <si>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</si>
  <si>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</si>
  <si>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</si>
  <si>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</si>
  <si>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</si>
  <si>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</si>
  <si>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</si>
  <si>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</si>
  <si>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</si>
  <si>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</si>
  <si>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</si>
  <si>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</si>
  <si>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</si>
  <si>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</si>
  <si>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</si>
  <si>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</si>
  <si>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</si>
  <si>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</si>
  <si>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</si>
  <si>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</si>
  <si>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</si>
  <si>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</si>
  <si>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</si>
  <si>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</si>
  <si>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</si>
  <si>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</si>
  <si>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</si>
  <si>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</si>
  <si>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</si>
  <si>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</si>
  <si>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</si>
  <si>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</si>
  <si>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</si>
  <si>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</si>
  <si>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</si>
  <si>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</si>
  <si>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</si>
  <si>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</si>
  <si>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</si>
  <si>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</si>
  <si>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</si>
  <si>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</si>
  <si>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</si>
  <si>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</si>
  <si>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</si>
  <si>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</si>
  <si>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</si>
  <si>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</si>
  <si>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</si>
  <si>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</si>
  <si>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</si>
  <si>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</si>
  <si>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</si>
  <si>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GEL PEN TIZO TG-30541</t>
  </si>
  <si>
    <t>GEL PEN TIZO TG-30542</t>
  </si>
  <si>
    <t>GEL PEN TIZO TG-30600</t>
  </si>
  <si>
    <t>GEL PEN TIZO TG-30601</t>
  </si>
  <si>
    <t>GEL PEN TIZO TG-30605</t>
  </si>
  <si>
    <t>GEL PEN TIZO TG-30606</t>
  </si>
  <si>
    <t>GEL PEN TIZO TG-30734</t>
  </si>
  <si>
    <t>GEL PEN TIZO TG-30735</t>
  </si>
  <si>
    <t>GEL PEN TIZO TG-30801</t>
  </si>
  <si>
    <t>GEL PEN TIZO TG-30802</t>
  </si>
  <si>
    <t>GEL PEN TIZO TG-30900</t>
  </si>
  <si>
    <t>GEL PEN TIZO TG-30901</t>
  </si>
  <si>
    <t>GEL PEN TIZO TG-31035</t>
  </si>
  <si>
    <t>GEL PEN TIZO TG-31037</t>
  </si>
  <si>
    <t>GEL PEN TIZO TG-31475</t>
  </si>
  <si>
    <t>GEL PEN TIZO TG-31590</t>
  </si>
  <si>
    <t>GEL PEN TIZO TG-31762</t>
  </si>
  <si>
    <t>GEL PEN TIZO TG-31780</t>
  </si>
  <si>
    <t>GEL PEN TIZO TG-31810</t>
  </si>
  <si>
    <t>GEL PEN TIZO TG-31831</t>
  </si>
  <si>
    <t>GEL PEN TIZO TG-31975</t>
  </si>
  <si>
    <t>GEL PEN TIZO TG-348</t>
  </si>
  <si>
    <t>GEL PEN TIZO TG-3481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</si>
  <si>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</si>
  <si>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</si>
  <si>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</si>
  <si>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</si>
  <si>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</si>
  <si>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</si>
  <si>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</si>
  <si>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</si>
  <si>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</si>
  <si>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</si>
  <si>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</si>
  <si>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</si>
  <si>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</si>
  <si>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</si>
  <si>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</si>
  <si>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</si>
  <si>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</si>
  <si>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</si>
  <si>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</si>
  <si>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</si>
  <si>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</si>
  <si>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</si>
  <si>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</si>
  <si>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</si>
  <si>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</si>
  <si>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</si>
  <si>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</si>
  <si>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</si>
  <si>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</si>
  <si>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</si>
  <si>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</si>
  <si>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</si>
  <si>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</si>
  <si>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</si>
  <si>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</si>
  <si>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</si>
  <si>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</si>
  <si>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</si>
  <si>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</si>
  <si>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</si>
  <si>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</si>
  <si>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</si>
  <si>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</si>
  <si>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</si>
  <si>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</si>
  <si>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</si>
  <si>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</si>
  <si>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</si>
  <si>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</si>
  <si>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</si>
  <si>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</si>
  <si>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</si>
  <si>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</si>
  <si>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</si>
  <si>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</si>
  <si>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</si>
  <si>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</si>
  <si>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</si>
  <si>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</si>
  <si>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</si>
  <si>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</si>
  <si>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GEL PEN SET JOYKO GPC-296 (isi 8 pc) (bonus)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</si>
  <si>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</si>
  <si>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</si>
  <si>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</si>
  <si>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</si>
  <si>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</si>
  <si>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</si>
  <si>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</si>
  <si>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</si>
  <si>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</si>
  <si>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</si>
  <si>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</si>
  <si>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</si>
  <si>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</si>
  <si>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</si>
  <si>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</si>
  <si>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</si>
  <si>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</si>
  <si>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</si>
  <si>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</si>
  <si>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</si>
  <si>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</si>
  <si>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</si>
  <si>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</si>
  <si>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</si>
  <si>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</si>
  <si>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</si>
  <si>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</si>
  <si>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</si>
  <si>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</si>
  <si>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GEL PEN JOYKO GP-265 Q-GEL (bonus)</t>
  </si>
  <si>
    <t>SPIDOL PERMANENT JOYKO PM-34 (bonus)</t>
  </si>
  <si>
    <t>SPIDOL WHITEBOARD SDI S530VP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</si>
  <si>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</si>
  <si>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</si>
  <si>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</si>
  <si>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</si>
  <si>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TIMBANGAN / DIGITAL SCALE JOYKO DSL-A3 (Kitchen Scale) (bonus)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</si>
  <si>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</si>
  <si>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</si>
  <si>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</si>
  <si>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</si>
  <si>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</si>
  <si>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</si>
  <si>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</si>
  <si>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</si>
  <si>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</si>
  <si>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</si>
  <si>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</si>
  <si>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</si>
  <si>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</si>
  <si>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ISI CUTTER 18 MM JOYKO L-150 AM/MH (BESAR) (BONUS)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</si>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</sst>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10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0" fontId="3" fillId="4" borderId="0" xfId="0" applyFont="1" applyFill="1" applyBorder="1"/>
    <xf numFmtId="0" fontId="3" fillId="4" borderId="0" xfId="0" applyFont="1" applyFill="1"/>
    <xf numFmtId="3" fontId="3" fillId="4" borderId="0" xfId="0" applyNumberFormat="1" applyFont="1" applyFill="1"/>
    <xf numFmtId="0" fontId="3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/>
    <xf numFmtId="0" fontId="3" fillId="4" borderId="0" xfId="0" applyFont="1" applyFill="1" applyAlignment="1"/>
    <xf numFmtId="4" fontId="3" fillId="4" borderId="0" xfId="0" applyNumberFormat="1" applyFont="1" applyFill="1"/>
    <xf numFmtId="10" fontId="3" fillId="4" borderId="0" xfId="0" applyNumberFormat="1" applyFont="1" applyFill="1" applyAlignment="1">
      <alignment horizontal="center"/>
    </xf>
    <xf numFmtId="166" fontId="3" fillId="0" borderId="0" xfId="0" applyNumberFormat="1" applyFont="1" applyFill="1" applyAlignment="1"/>
    <xf numFmtId="0" fontId="3" fillId="0" borderId="0" xfId="2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3" fontId="0" fillId="0" borderId="0" xfId="0" quotePrefix="1" applyNumberFormat="1" applyFont="1" applyFill="1"/>
    <xf numFmtId="0" fontId="3" fillId="0" borderId="9" xfId="2" applyFont="1" applyFill="1" applyBorder="1"/>
    <xf numFmtId="0" fontId="3" fillId="3" borderId="0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1" fontId="3" fillId="3" borderId="0" xfId="0" applyNumberFormat="1" applyFont="1" applyFill="1" applyAlignment="1"/>
    <xf numFmtId="0" fontId="3" fillId="3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66" fontId="3" fillId="4" borderId="0" xfId="0" applyNumberFormat="1" applyFont="1" applyFill="1" applyAlignment="1"/>
    <xf numFmtId="1" fontId="3" fillId="4" borderId="0" xfId="0" applyNumberFormat="1" applyFont="1" applyFill="1" applyAlignment="1"/>
    <xf numFmtId="165" fontId="3" fillId="3" borderId="0" xfId="0" applyNumberFormat="1" applyFont="1" applyFill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0" fontId="3" fillId="5" borderId="0" xfId="0" applyFont="1" applyFill="1" applyBorder="1"/>
    <xf numFmtId="0" fontId="3" fillId="5" borderId="0" xfId="2" applyFont="1" applyFill="1" applyBorder="1"/>
    <xf numFmtId="10" fontId="3" fillId="5" borderId="0" xfId="0" applyNumberFormat="1" applyFont="1" applyFill="1" applyAlignment="1">
      <alignment horizontal="center"/>
    </xf>
    <xf numFmtId="4" fontId="3" fillId="5" borderId="0" xfId="0" applyNumberFormat="1" applyFont="1" applyFill="1"/>
    <xf numFmtId="0" fontId="3" fillId="5" borderId="0" xfId="0" applyFont="1" applyFill="1" applyBorder="1" applyAlignment="1">
      <alignment vertical="center"/>
    </xf>
    <xf numFmtId="4" fontId="3" fillId="5" borderId="0" xfId="0" applyNumberFormat="1" applyFont="1" applyFill="1" applyBorder="1"/>
    <xf numFmtId="1" fontId="3" fillId="0" borderId="0" xfId="0" applyNumberFormat="1" applyFont="1" applyFill="1" applyAlignme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8"/>
  <sheetViews>
    <sheetView tabSelected="1" workbookViewId="0">
      <pane ySplit="3" topLeftCell="A961" activePane="bottomLeft" state="frozen"/>
      <selection pane="bottomLeft" activeCell="B975" sqref="B975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6.8554687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836</v>
      </c>
    </row>
    <row r="2" spans="1:19" s="10" customFormat="1">
      <c r="A2" s="108" t="s">
        <v>0</v>
      </c>
      <c r="B2" s="107" t="s">
        <v>1</v>
      </c>
      <c r="C2" s="102" t="s">
        <v>2</v>
      </c>
      <c r="D2" s="102"/>
      <c r="E2" s="109" t="s">
        <v>655</v>
      </c>
      <c r="F2" s="104" t="s">
        <v>3</v>
      </c>
      <c r="G2" s="104"/>
      <c r="H2" s="104"/>
      <c r="I2" s="104"/>
      <c r="J2" s="105" t="s">
        <v>4</v>
      </c>
      <c r="K2" s="106"/>
      <c r="L2" s="106"/>
      <c r="M2" s="107"/>
      <c r="N2" s="98" t="s">
        <v>5</v>
      </c>
      <c r="O2" s="99"/>
      <c r="P2" s="102" t="s">
        <v>6</v>
      </c>
      <c r="Q2" s="102"/>
      <c r="R2" s="103" t="s">
        <v>7</v>
      </c>
      <c r="S2" s="103" t="s">
        <v>8</v>
      </c>
    </row>
    <row r="3" spans="1:19" s="10" customFormat="1">
      <c r="A3" s="108"/>
      <c r="B3" s="107"/>
      <c r="C3" s="102"/>
      <c r="D3" s="102"/>
      <c r="E3" s="109"/>
      <c r="F3" s="104" t="s">
        <v>9</v>
      </c>
      <c r="G3" s="104"/>
      <c r="H3" s="104" t="s">
        <v>10</v>
      </c>
      <c r="I3" s="104"/>
      <c r="J3" s="11" t="s">
        <v>11</v>
      </c>
      <c r="K3" s="12" t="s">
        <v>12</v>
      </c>
      <c r="L3" s="13" t="s">
        <v>13</v>
      </c>
      <c r="M3" s="13" t="s">
        <v>14</v>
      </c>
      <c r="N3" s="100"/>
      <c r="O3" s="101"/>
      <c r="P3" s="102"/>
      <c r="Q3" s="102"/>
      <c r="R3" s="103"/>
      <c r="S3" s="103"/>
    </row>
    <row r="4" spans="1:19" ht="15.75">
      <c r="A4" s="14" t="s">
        <v>15</v>
      </c>
    </row>
    <row r="5" spans="1:19">
      <c r="A5" s="15" t="s">
        <v>16</v>
      </c>
    </row>
    <row r="6" spans="1:19">
      <c r="A6" s="17" t="s">
        <v>17</v>
      </c>
      <c r="B6" s="2" t="s">
        <v>18</v>
      </c>
      <c r="D6" s="4" t="s">
        <v>19</v>
      </c>
      <c r="F6" s="6">
        <v>1</v>
      </c>
      <c r="G6" s="7" t="s">
        <v>20</v>
      </c>
      <c r="H6" s="6">
        <v>60</v>
      </c>
      <c r="I6" s="7" t="s">
        <v>19</v>
      </c>
      <c r="J6" s="8">
        <v>45500</v>
      </c>
      <c r="K6" s="4" t="s">
        <v>19</v>
      </c>
      <c r="L6" s="9">
        <v>0.125</v>
      </c>
      <c r="M6" s="9">
        <v>0.05</v>
      </c>
      <c r="O6" s="7" t="s">
        <v>19</v>
      </c>
      <c r="P6" s="3">
        <f>(C6+(E6*F6*H6))-N6</f>
        <v>0</v>
      </c>
      <c r="Q6" s="7" t="s">
        <v>19</v>
      </c>
      <c r="R6" s="8">
        <f>P6*(J6-(J6*L6)-((J6-(J6*L6))*M6))</f>
        <v>0</v>
      </c>
      <c r="S6" s="8">
        <f>R6/1.11</f>
        <v>0</v>
      </c>
    </row>
    <row r="7" spans="1:19">
      <c r="A7" s="17" t="s">
        <v>762</v>
      </c>
      <c r="B7" s="2" t="s">
        <v>18</v>
      </c>
      <c r="D7" s="4" t="s">
        <v>19</v>
      </c>
      <c r="F7" s="6">
        <v>1</v>
      </c>
      <c r="G7" s="7" t="s">
        <v>20</v>
      </c>
      <c r="H7" s="6">
        <v>48</v>
      </c>
      <c r="I7" s="7" t="s">
        <v>19</v>
      </c>
      <c r="J7" s="8">
        <v>26000</v>
      </c>
      <c r="K7" s="4" t="s">
        <v>19</v>
      </c>
      <c r="L7" s="9">
        <v>0.125</v>
      </c>
      <c r="M7" s="9">
        <v>0.05</v>
      </c>
      <c r="O7" s="7" t="s">
        <v>19</v>
      </c>
      <c r="P7" s="3">
        <f>(C7+(E7*F7*H7))-N7</f>
        <v>0</v>
      </c>
      <c r="Q7" s="7" t="s">
        <v>19</v>
      </c>
      <c r="R7" s="8">
        <f>P7*(J7-(J7*L7)-((J7-(J7*L7))*M7))</f>
        <v>0</v>
      </c>
      <c r="S7" s="8">
        <f t="shared" ref="S7:S102" si="0">R7/1.11</f>
        <v>0</v>
      </c>
    </row>
    <row r="8" spans="1:19">
      <c r="A8" s="17" t="s">
        <v>21</v>
      </c>
      <c r="B8" s="2" t="s">
        <v>18</v>
      </c>
      <c r="D8" s="4" t="s">
        <v>19</v>
      </c>
      <c r="F8" s="6">
        <v>1</v>
      </c>
      <c r="G8" s="7" t="s">
        <v>20</v>
      </c>
      <c r="H8" s="6">
        <v>48</v>
      </c>
      <c r="I8" s="7" t="s">
        <v>19</v>
      </c>
      <c r="J8" s="8">
        <v>28000</v>
      </c>
      <c r="K8" s="4" t="s">
        <v>19</v>
      </c>
      <c r="L8" s="9">
        <v>0.125</v>
      </c>
      <c r="M8" s="9">
        <v>0.05</v>
      </c>
      <c r="O8" s="7" t="s">
        <v>19</v>
      </c>
      <c r="P8" s="3">
        <f>(C8+(E8*F8*H8))-N8</f>
        <v>0</v>
      </c>
      <c r="Q8" s="7" t="s">
        <v>19</v>
      </c>
      <c r="R8" s="8">
        <f>P8*(J8-(J8*L8)-((J8-(J8*L8))*M8))</f>
        <v>0</v>
      </c>
      <c r="S8" s="8">
        <f t="shared" si="0"/>
        <v>0</v>
      </c>
    </row>
    <row r="9" spans="1:19">
      <c r="A9" s="17" t="s">
        <v>22</v>
      </c>
      <c r="B9" s="2" t="s">
        <v>18</v>
      </c>
      <c r="D9" s="4" t="s">
        <v>19</v>
      </c>
      <c r="F9" s="6">
        <v>1</v>
      </c>
      <c r="G9" s="7" t="s">
        <v>20</v>
      </c>
      <c r="H9" s="6">
        <v>48</v>
      </c>
      <c r="I9" s="7" t="s">
        <v>19</v>
      </c>
      <c r="J9" s="8">
        <v>31700</v>
      </c>
      <c r="K9" s="4" t="s">
        <v>19</v>
      </c>
      <c r="L9" s="9">
        <v>0.125</v>
      </c>
      <c r="M9" s="9">
        <v>0.05</v>
      </c>
      <c r="O9" s="7" t="s">
        <v>19</v>
      </c>
      <c r="P9" s="3">
        <f>(C9+(E9*F9*H9))-N9</f>
        <v>0</v>
      </c>
      <c r="Q9" s="7" t="s">
        <v>19</v>
      </c>
      <c r="R9" s="8">
        <f>P9*(J9-(J9*L9)-((J9-(J9*L9))*M9))</f>
        <v>0</v>
      </c>
      <c r="S9" s="8">
        <f t="shared" si="0"/>
        <v>0</v>
      </c>
    </row>
    <row r="10" spans="1:19">
      <c r="A10" s="17" t="s">
        <v>23</v>
      </c>
      <c r="B10" s="2" t="s">
        <v>18</v>
      </c>
      <c r="D10" s="4" t="s">
        <v>19</v>
      </c>
      <c r="F10" s="6">
        <v>1</v>
      </c>
      <c r="G10" s="7" t="s">
        <v>20</v>
      </c>
      <c r="H10" s="6">
        <v>48</v>
      </c>
      <c r="I10" s="7" t="s">
        <v>19</v>
      </c>
      <c r="J10" s="8">
        <v>25000</v>
      </c>
      <c r="K10" s="4" t="s">
        <v>19</v>
      </c>
      <c r="L10" s="9">
        <v>0.125</v>
      </c>
      <c r="M10" s="9">
        <v>0.05</v>
      </c>
      <c r="O10" s="7" t="s">
        <v>19</v>
      </c>
      <c r="P10" s="3">
        <f>(C10+(E10*F10*H10))-N10</f>
        <v>0</v>
      </c>
      <c r="Q10" s="7" t="s">
        <v>19</v>
      </c>
      <c r="R10" s="8">
        <f>P10*(J10-(J10*L10)-((J10-(J10*L10))*M10))</f>
        <v>0</v>
      </c>
      <c r="S10" s="8">
        <f t="shared" si="0"/>
        <v>0</v>
      </c>
    </row>
    <row r="12" spans="1:19">
      <c r="A12" s="17" t="s">
        <v>24</v>
      </c>
      <c r="B12" s="2" t="s">
        <v>25</v>
      </c>
      <c r="D12" s="4" t="s">
        <v>19</v>
      </c>
      <c r="F12" s="6">
        <v>1</v>
      </c>
      <c r="G12" s="7" t="s">
        <v>20</v>
      </c>
      <c r="H12" s="6">
        <v>60</v>
      </c>
      <c r="I12" s="7" t="s">
        <v>19</v>
      </c>
      <c r="J12" s="8">
        <v>23800</v>
      </c>
      <c r="K12" s="4" t="s">
        <v>19</v>
      </c>
      <c r="M12" s="9">
        <v>0.17</v>
      </c>
      <c r="O12" s="7" t="s">
        <v>19</v>
      </c>
      <c r="P12" s="3">
        <f t="shared" ref="P12:P18" si="1">(C12+(E12*F12*H12))-N12</f>
        <v>0</v>
      </c>
      <c r="Q12" s="7" t="s">
        <v>19</v>
      </c>
      <c r="R12" s="8">
        <f t="shared" ref="R12:R18" si="2">P12*(J12-(J12*L12)-((J12-(J12*L12))*M12))</f>
        <v>0</v>
      </c>
      <c r="S12" s="8">
        <f t="shared" si="0"/>
        <v>0</v>
      </c>
    </row>
    <row r="13" spans="1:19">
      <c r="A13" s="17" t="s">
        <v>26</v>
      </c>
      <c r="B13" s="2" t="s">
        <v>25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0</v>
      </c>
      <c r="Q13" s="7" t="s">
        <v>19</v>
      </c>
      <c r="R13" s="8">
        <f t="shared" si="2"/>
        <v>0</v>
      </c>
      <c r="S13" s="8">
        <f t="shared" si="0"/>
        <v>0</v>
      </c>
    </row>
    <row r="14" spans="1:19">
      <c r="A14" s="17" t="s">
        <v>27</v>
      </c>
      <c r="B14" s="2" t="s">
        <v>25</v>
      </c>
      <c r="C14" s="20"/>
      <c r="D14" s="4" t="s">
        <v>19</v>
      </c>
      <c r="F14" s="6">
        <v>1</v>
      </c>
      <c r="G14" s="7" t="s">
        <v>20</v>
      </c>
      <c r="H14" s="6">
        <v>60</v>
      </c>
      <c r="I14" s="7" t="s">
        <v>19</v>
      </c>
      <c r="J14" s="8">
        <v>27500</v>
      </c>
      <c r="K14" s="4" t="s">
        <v>19</v>
      </c>
      <c r="M14" s="9">
        <v>0.17</v>
      </c>
      <c r="O14" s="7" t="s">
        <v>19</v>
      </c>
      <c r="P14" s="3">
        <f t="shared" si="1"/>
        <v>0</v>
      </c>
      <c r="Q14" s="7" t="s">
        <v>19</v>
      </c>
      <c r="R14" s="8">
        <f t="shared" si="2"/>
        <v>0</v>
      </c>
      <c r="S14" s="8">
        <f t="shared" si="0"/>
        <v>0</v>
      </c>
    </row>
    <row r="15" spans="1:19">
      <c r="A15" s="17" t="s">
        <v>713</v>
      </c>
      <c r="B15" s="2" t="s">
        <v>25</v>
      </c>
      <c r="C15" s="20"/>
      <c r="D15" s="4" t="s">
        <v>19</v>
      </c>
      <c r="F15" s="6">
        <v>1</v>
      </c>
      <c r="G15" s="7" t="s">
        <v>20</v>
      </c>
      <c r="H15" s="6">
        <v>36</v>
      </c>
      <c r="I15" s="7" t="s">
        <v>19</v>
      </c>
      <c r="J15" s="8">
        <f>2520000/36</f>
        <v>70000</v>
      </c>
      <c r="K15" s="4" t="s">
        <v>19</v>
      </c>
      <c r="M15" s="9">
        <v>0.17</v>
      </c>
      <c r="O15" s="7" t="s">
        <v>19</v>
      </c>
      <c r="P15" s="3">
        <f t="shared" si="1"/>
        <v>0</v>
      </c>
      <c r="Q15" s="7" t="s">
        <v>19</v>
      </c>
      <c r="R15" s="8">
        <f t="shared" si="2"/>
        <v>0</v>
      </c>
      <c r="S15" s="8">
        <f t="shared" si="0"/>
        <v>0</v>
      </c>
    </row>
    <row r="16" spans="1:19">
      <c r="A16" s="17" t="s">
        <v>28</v>
      </c>
      <c r="B16" s="2" t="s">
        <v>25</v>
      </c>
      <c r="C16" s="20"/>
      <c r="D16" s="4" t="s">
        <v>19</v>
      </c>
      <c r="F16" s="6">
        <v>1</v>
      </c>
      <c r="G16" s="7" t="s">
        <v>20</v>
      </c>
      <c r="H16" s="6">
        <v>36</v>
      </c>
      <c r="I16" s="7" t="s">
        <v>19</v>
      </c>
      <c r="J16" s="8">
        <v>50500</v>
      </c>
      <c r="K16" s="4" t="s">
        <v>19</v>
      </c>
      <c r="M16" s="9">
        <v>0.17</v>
      </c>
      <c r="O16" s="7" t="s">
        <v>19</v>
      </c>
      <c r="P16" s="3">
        <f t="shared" si="1"/>
        <v>0</v>
      </c>
      <c r="Q16" s="7" t="s">
        <v>19</v>
      </c>
      <c r="R16" s="8">
        <f t="shared" si="2"/>
        <v>0</v>
      </c>
      <c r="S16" s="8">
        <f t="shared" si="0"/>
        <v>0</v>
      </c>
    </row>
    <row r="17" spans="1:19" s="19" customFormat="1">
      <c r="A17" s="18" t="s">
        <v>29</v>
      </c>
      <c r="B17" s="19" t="s">
        <v>25</v>
      </c>
      <c r="C17" s="20"/>
      <c r="D17" s="21" t="s">
        <v>19</v>
      </c>
      <c r="E17" s="26"/>
      <c r="F17" s="22">
        <v>1</v>
      </c>
      <c r="G17" s="23" t="s">
        <v>20</v>
      </c>
      <c r="H17" s="22">
        <v>72</v>
      </c>
      <c r="I17" s="23" t="s">
        <v>19</v>
      </c>
      <c r="J17" s="24">
        <v>37000</v>
      </c>
      <c r="K17" s="21" t="s">
        <v>19</v>
      </c>
      <c r="L17" s="25"/>
      <c r="M17" s="25">
        <v>0.17</v>
      </c>
      <c r="N17" s="22"/>
      <c r="O17" s="23" t="s">
        <v>19</v>
      </c>
      <c r="P17" s="20">
        <f t="shared" si="1"/>
        <v>0</v>
      </c>
      <c r="Q17" s="23" t="s">
        <v>19</v>
      </c>
      <c r="R17" s="24">
        <f t="shared" si="2"/>
        <v>0</v>
      </c>
      <c r="S17" s="24">
        <f t="shared" si="0"/>
        <v>0</v>
      </c>
    </row>
    <row r="18" spans="1:19">
      <c r="A18" s="17" t="s">
        <v>30</v>
      </c>
      <c r="B18" s="2" t="s">
        <v>25</v>
      </c>
      <c r="C18" s="20"/>
      <c r="D18" s="4" t="s">
        <v>19</v>
      </c>
      <c r="F18" s="6">
        <v>1</v>
      </c>
      <c r="G18" s="7" t="s">
        <v>20</v>
      </c>
      <c r="H18" s="6">
        <v>72</v>
      </c>
      <c r="I18" s="7" t="s">
        <v>19</v>
      </c>
      <c r="J18" s="8">
        <v>30000</v>
      </c>
      <c r="K18" s="4" t="s">
        <v>19</v>
      </c>
      <c r="M18" s="9">
        <v>0.17</v>
      </c>
      <c r="O18" s="7" t="s">
        <v>19</v>
      </c>
      <c r="P18" s="3">
        <f t="shared" si="1"/>
        <v>0</v>
      </c>
      <c r="Q18" s="7" t="s">
        <v>19</v>
      </c>
      <c r="R18" s="8">
        <f t="shared" si="2"/>
        <v>0</v>
      </c>
      <c r="S18" s="8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D21" s="4" t="s">
        <v>33</v>
      </c>
      <c r="E21" s="5">
        <v>1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6" si="3">(C21+(E21*F21*H21))-N21</f>
        <v>60</v>
      </c>
      <c r="Q21" s="7" t="s">
        <v>33</v>
      </c>
      <c r="R21" s="8">
        <f t="shared" ref="R21:R26" si="4">P21*(J21-(J21*L21)-((J21-(J21*L21))*M21))</f>
        <v>1107225</v>
      </c>
      <c r="S21" s="8">
        <f t="shared" si="0"/>
        <v>997499.99999999988</v>
      </c>
    </row>
    <row r="22" spans="1:19">
      <c r="A22" s="17" t="s">
        <v>864</v>
      </c>
      <c r="B22" s="2" t="s">
        <v>18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60</v>
      </c>
      <c r="Q22" s="7" t="s">
        <v>33</v>
      </c>
      <c r="R22" s="8">
        <f t="shared" si="4"/>
        <v>1571062.5</v>
      </c>
      <c r="S22" s="8">
        <f t="shared" si="0"/>
        <v>1415371.6216216215</v>
      </c>
    </row>
    <row r="23" spans="1:19">
      <c r="A23" s="17" t="s">
        <v>34</v>
      </c>
      <c r="B23" s="2" t="s">
        <v>18</v>
      </c>
      <c r="D23" s="4" t="s">
        <v>33</v>
      </c>
      <c r="F23" s="6">
        <v>1</v>
      </c>
      <c r="G23" s="7" t="s">
        <v>20</v>
      </c>
      <c r="H23" s="6">
        <v>60</v>
      </c>
      <c r="I23" s="7" t="s">
        <v>33</v>
      </c>
      <c r="J23" s="8">
        <v>31500</v>
      </c>
      <c r="K23" s="4" t="s">
        <v>33</v>
      </c>
      <c r="L23" s="9">
        <v>0.125</v>
      </c>
      <c r="M23" s="9">
        <v>0.05</v>
      </c>
      <c r="O23" s="7" t="s">
        <v>33</v>
      </c>
      <c r="P23" s="3">
        <f t="shared" ref="P23" si="5">(C23+(E23*F23*H23))-N23</f>
        <v>0</v>
      </c>
      <c r="Q23" s="7" t="s">
        <v>33</v>
      </c>
      <c r="R23" s="8">
        <f t="shared" ref="R23" si="6">P23*(J23-(J23*L23)-((J23-(J23*L23))*M23))</f>
        <v>0</v>
      </c>
      <c r="S23" s="8">
        <f t="shared" ref="S23" si="7">R23/1.11</f>
        <v>0</v>
      </c>
    </row>
    <row r="24" spans="1:19">
      <c r="A24" s="17" t="s">
        <v>701</v>
      </c>
      <c r="B24" s="2" t="s">
        <v>18</v>
      </c>
      <c r="D24" s="4" t="s">
        <v>33</v>
      </c>
      <c r="F24" s="6">
        <v>1</v>
      </c>
      <c r="G24" s="7" t="s">
        <v>20</v>
      </c>
      <c r="H24" s="6">
        <v>50</v>
      </c>
      <c r="I24" s="7" t="s">
        <v>33</v>
      </c>
      <c r="J24" s="8">
        <v>66000</v>
      </c>
      <c r="K24" s="4" t="s">
        <v>33</v>
      </c>
      <c r="L24" s="9">
        <v>0.125</v>
      </c>
      <c r="M24" s="9">
        <v>0.05</v>
      </c>
      <c r="O24" s="7" t="s">
        <v>33</v>
      </c>
      <c r="P24" s="3">
        <f t="shared" si="3"/>
        <v>0</v>
      </c>
      <c r="Q24" s="7" t="s">
        <v>33</v>
      </c>
      <c r="R24" s="8">
        <f t="shared" si="4"/>
        <v>0</v>
      </c>
      <c r="S24" s="8">
        <f t="shared" si="0"/>
        <v>0</v>
      </c>
    </row>
    <row r="25" spans="1:19">
      <c r="A25" s="17" t="s">
        <v>35</v>
      </c>
      <c r="B25" s="2" t="s">
        <v>18</v>
      </c>
      <c r="D25" s="4" t="s">
        <v>33</v>
      </c>
      <c r="F25" s="6">
        <v>1</v>
      </c>
      <c r="G25" s="7" t="s">
        <v>20</v>
      </c>
      <c r="H25" s="6">
        <v>180</v>
      </c>
      <c r="I25" s="7" t="s">
        <v>33</v>
      </c>
      <c r="J25" s="8">
        <v>10200</v>
      </c>
      <c r="K25" s="4" t="s">
        <v>33</v>
      </c>
      <c r="L25" s="9">
        <v>0.125</v>
      </c>
      <c r="M25" s="9">
        <v>0.05</v>
      </c>
      <c r="O25" s="7" t="s">
        <v>33</v>
      </c>
      <c r="P25" s="3">
        <f t="shared" si="3"/>
        <v>0</v>
      </c>
      <c r="Q25" s="7" t="s">
        <v>33</v>
      </c>
      <c r="R25" s="8">
        <f t="shared" si="4"/>
        <v>0</v>
      </c>
      <c r="S25" s="8">
        <f t="shared" si="0"/>
        <v>0</v>
      </c>
    </row>
    <row r="26" spans="1:19">
      <c r="A26" s="17" t="s">
        <v>36</v>
      </c>
      <c r="B26" s="2" t="s">
        <v>18</v>
      </c>
      <c r="D26" s="4" t="s">
        <v>33</v>
      </c>
      <c r="F26" s="6">
        <v>1</v>
      </c>
      <c r="G26" s="7" t="s">
        <v>20</v>
      </c>
      <c r="H26" s="6">
        <v>32</v>
      </c>
      <c r="I26" s="7" t="s">
        <v>33</v>
      </c>
      <c r="J26" s="8">
        <v>64800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si="3"/>
        <v>0</v>
      </c>
      <c r="Q26" s="7" t="s">
        <v>33</v>
      </c>
      <c r="R26" s="8">
        <f t="shared" si="4"/>
        <v>0</v>
      </c>
      <c r="S26" s="8">
        <f t="shared" si="0"/>
        <v>0</v>
      </c>
    </row>
    <row r="28" spans="1:19">
      <c r="A28" s="17" t="s">
        <v>792</v>
      </c>
      <c r="B28" s="2" t="s">
        <v>25</v>
      </c>
      <c r="D28" s="4" t="s">
        <v>33</v>
      </c>
      <c r="F28" s="6">
        <v>2</v>
      </c>
      <c r="G28" s="7" t="s">
        <v>100</v>
      </c>
      <c r="H28" s="6">
        <v>30</v>
      </c>
      <c r="I28" s="7" t="s">
        <v>33</v>
      </c>
      <c r="J28" s="8">
        <f>1800000/2/30</f>
        <v>30000</v>
      </c>
      <c r="K28" s="4" t="s">
        <v>33</v>
      </c>
      <c r="M28" s="9">
        <v>0.17</v>
      </c>
      <c r="O28" s="7" t="s">
        <v>33</v>
      </c>
      <c r="P28" s="3">
        <f>(C28+(E28*F28*H28))-N28</f>
        <v>0</v>
      </c>
      <c r="Q28" s="7" t="s">
        <v>33</v>
      </c>
      <c r="R28" s="8">
        <f>P28*(J28-(J28*L28)-((J28-(J28*L28))*M28))</f>
        <v>0</v>
      </c>
      <c r="S28" s="8">
        <f t="shared" ref="S28:S29" si="8">R28/1.11</f>
        <v>0</v>
      </c>
    </row>
    <row r="29" spans="1:19">
      <c r="A29" s="17" t="s">
        <v>781</v>
      </c>
      <c r="B29" s="2" t="s">
        <v>25</v>
      </c>
      <c r="D29" s="4" t="s">
        <v>41</v>
      </c>
      <c r="F29" s="6">
        <v>1</v>
      </c>
      <c r="G29" s="7" t="s">
        <v>20</v>
      </c>
      <c r="H29" s="6">
        <v>60</v>
      </c>
      <c r="I29" s="7" t="s">
        <v>41</v>
      </c>
      <c r="J29" s="8">
        <f>1080000/60</f>
        <v>18000</v>
      </c>
      <c r="K29" s="4" t="s">
        <v>41</v>
      </c>
      <c r="M29" s="9">
        <v>0.17</v>
      </c>
      <c r="O29" s="7" t="s">
        <v>33</v>
      </c>
      <c r="P29" s="3">
        <f>(C29+(E29*F29*H29))-N29</f>
        <v>0</v>
      </c>
      <c r="Q29" s="7" t="s">
        <v>41</v>
      </c>
      <c r="R29" s="8">
        <f>P29*(J29-(J29*L29)-((J29-(J29*L29))*M29))</f>
        <v>0</v>
      </c>
      <c r="S29" s="8">
        <f t="shared" si="8"/>
        <v>0</v>
      </c>
    </row>
    <row r="30" spans="1:19">
      <c r="A30" s="17" t="s">
        <v>686</v>
      </c>
      <c r="B30" s="2" t="s">
        <v>25</v>
      </c>
      <c r="D30" s="4" t="s">
        <v>33</v>
      </c>
      <c r="F30" s="6">
        <v>1</v>
      </c>
      <c r="G30" s="7" t="s">
        <v>20</v>
      </c>
      <c r="H30" s="6">
        <v>32</v>
      </c>
      <c r="I30" s="7" t="s">
        <v>33</v>
      </c>
      <c r="J30" s="8">
        <f>1113600/32</f>
        <v>34800</v>
      </c>
      <c r="K30" s="4" t="s">
        <v>33</v>
      </c>
      <c r="M30" s="9">
        <v>0.17</v>
      </c>
      <c r="O30" s="7" t="s">
        <v>33</v>
      </c>
      <c r="P30" s="3">
        <f>(C30+(E30*F30*H30))-N30</f>
        <v>0</v>
      </c>
      <c r="Q30" s="7" t="s">
        <v>33</v>
      </c>
      <c r="R30" s="8">
        <f>P30*(J30-(J30*L30)-((J30-(J30*L30))*M30))</f>
        <v>0</v>
      </c>
      <c r="S30" s="8">
        <f t="shared" si="0"/>
        <v>0</v>
      </c>
    </row>
    <row r="32" spans="1:19" ht="15.75">
      <c r="A32" s="14" t="s">
        <v>37</v>
      </c>
    </row>
    <row r="33" spans="1:19">
      <c r="A33" s="15" t="s">
        <v>38</v>
      </c>
    </row>
    <row r="34" spans="1:19">
      <c r="A34" s="91" t="s">
        <v>845</v>
      </c>
      <c r="B34" s="2" t="s">
        <v>18</v>
      </c>
      <c r="D34" s="4" t="s">
        <v>19</v>
      </c>
      <c r="E34" s="5">
        <v>1</v>
      </c>
      <c r="F34" s="6">
        <v>1</v>
      </c>
      <c r="G34" s="7" t="s">
        <v>20</v>
      </c>
      <c r="H34" s="6">
        <v>60</v>
      </c>
      <c r="I34" s="7" t="s">
        <v>19</v>
      </c>
      <c r="J34" s="8">
        <v>20800</v>
      </c>
      <c r="K34" s="4" t="s">
        <v>19</v>
      </c>
      <c r="L34" s="9">
        <v>0.125</v>
      </c>
      <c r="M34" s="9">
        <v>0.05</v>
      </c>
      <c r="O34" s="7" t="s">
        <v>19</v>
      </c>
      <c r="P34" s="3">
        <f>(C34+(E34*F34*H34))-N34</f>
        <v>60</v>
      </c>
      <c r="Q34" s="7" t="s">
        <v>19</v>
      </c>
      <c r="R34" s="8">
        <f>P34*(J34-(J34*L34)-((J34-(J34*L34))*M34))</f>
        <v>1037400</v>
      </c>
      <c r="S34" s="8">
        <f t="shared" ref="S34" si="9">R34/1.11</f>
        <v>934594.59459459456</v>
      </c>
    </row>
    <row r="35" spans="1:19">
      <c r="A35" s="17" t="s">
        <v>39</v>
      </c>
      <c r="B35" s="2" t="s">
        <v>18</v>
      </c>
      <c r="D35" s="4" t="s">
        <v>19</v>
      </c>
      <c r="F35" s="6">
        <v>1</v>
      </c>
      <c r="G35" s="7" t="s">
        <v>20</v>
      </c>
      <c r="H35" s="6">
        <v>60</v>
      </c>
      <c r="I35" s="7" t="s">
        <v>19</v>
      </c>
      <c r="J35" s="8">
        <v>18500</v>
      </c>
      <c r="K35" s="4" t="s">
        <v>19</v>
      </c>
      <c r="L35" s="9">
        <v>0.125</v>
      </c>
      <c r="M35" s="9">
        <v>0.05</v>
      </c>
      <c r="O35" s="7" t="s">
        <v>19</v>
      </c>
      <c r="P35" s="3">
        <f>(C35+(E35*F35*H35))-N35</f>
        <v>0</v>
      </c>
      <c r="Q35" s="7" t="s">
        <v>19</v>
      </c>
      <c r="R35" s="8">
        <f>P35*(J35-(J35*L35)-((J35-(J35*L35))*M35))</f>
        <v>0</v>
      </c>
      <c r="S35" s="8">
        <f t="shared" si="0"/>
        <v>0</v>
      </c>
    </row>
    <row r="37" spans="1:19" s="19" customFormat="1">
      <c r="A37" s="18" t="s">
        <v>40</v>
      </c>
      <c r="B37" s="19" t="s">
        <v>25</v>
      </c>
      <c r="C37" s="20"/>
      <c r="D37" s="21" t="s">
        <v>41</v>
      </c>
      <c r="E37" s="26"/>
      <c r="F37" s="22">
        <v>1</v>
      </c>
      <c r="G37" s="23" t="s">
        <v>20</v>
      </c>
      <c r="H37" s="22">
        <v>5</v>
      </c>
      <c r="I37" s="23" t="s">
        <v>41</v>
      </c>
      <c r="J37" s="24">
        <f>780000/5</f>
        <v>156000</v>
      </c>
      <c r="K37" s="21" t="s">
        <v>41</v>
      </c>
      <c r="L37" s="25"/>
      <c r="M37" s="25">
        <v>0.17</v>
      </c>
      <c r="N37" s="22"/>
      <c r="O37" s="56" t="s">
        <v>41</v>
      </c>
      <c r="P37" s="20">
        <f t="shared" ref="P37:P40" si="10">(C37+(E37*F37*H37))-N37</f>
        <v>0</v>
      </c>
      <c r="Q37" s="23" t="s">
        <v>41</v>
      </c>
      <c r="R37" s="24">
        <f t="shared" ref="R37:R40" si="11">P37*(J37-(J37*L37)-((J37-(J37*L37))*M37))</f>
        <v>0</v>
      </c>
      <c r="S37" s="24">
        <f t="shared" si="0"/>
        <v>0</v>
      </c>
    </row>
    <row r="38" spans="1:19" s="19" customFormat="1">
      <c r="A38" s="18" t="s">
        <v>42</v>
      </c>
      <c r="B38" s="19" t="s">
        <v>25</v>
      </c>
      <c r="C38" s="20"/>
      <c r="D38" s="21" t="s">
        <v>41</v>
      </c>
      <c r="E38" s="26"/>
      <c r="F38" s="22">
        <v>1</v>
      </c>
      <c r="G38" s="23" t="s">
        <v>20</v>
      </c>
      <c r="H38" s="22">
        <v>5</v>
      </c>
      <c r="I38" s="23" t="s">
        <v>41</v>
      </c>
      <c r="J38" s="24">
        <f>708000/5</f>
        <v>141600</v>
      </c>
      <c r="K38" s="21" t="s">
        <v>41</v>
      </c>
      <c r="L38" s="25"/>
      <c r="M38" s="25">
        <v>0.17</v>
      </c>
      <c r="N38" s="22"/>
      <c r="O38" s="56" t="s">
        <v>41</v>
      </c>
      <c r="P38" s="20">
        <f t="shared" si="10"/>
        <v>0</v>
      </c>
      <c r="Q38" s="23" t="s">
        <v>41</v>
      </c>
      <c r="R38" s="24">
        <f t="shared" si="11"/>
        <v>0</v>
      </c>
      <c r="S38" s="24">
        <f t="shared" si="0"/>
        <v>0</v>
      </c>
    </row>
    <row r="39" spans="1:19" s="19" customFormat="1">
      <c r="A39" s="18" t="s">
        <v>43</v>
      </c>
      <c r="B39" s="19" t="s">
        <v>25</v>
      </c>
      <c r="C39" s="20"/>
      <c r="D39" s="21" t="s">
        <v>41</v>
      </c>
      <c r="E39" s="26"/>
      <c r="F39" s="22">
        <v>1</v>
      </c>
      <c r="G39" s="23" t="s">
        <v>20</v>
      </c>
      <c r="H39" s="22">
        <v>5</v>
      </c>
      <c r="I39" s="23" t="s">
        <v>41</v>
      </c>
      <c r="J39" s="24">
        <f>990000/5</f>
        <v>198000</v>
      </c>
      <c r="K39" s="21" t="s">
        <v>41</v>
      </c>
      <c r="L39" s="25"/>
      <c r="M39" s="25">
        <v>0.17</v>
      </c>
      <c r="N39" s="22"/>
      <c r="O39" s="56" t="s">
        <v>41</v>
      </c>
      <c r="P39" s="20">
        <f t="shared" si="10"/>
        <v>0</v>
      </c>
      <c r="Q39" s="23" t="s">
        <v>41</v>
      </c>
      <c r="R39" s="24">
        <f t="shared" si="11"/>
        <v>0</v>
      </c>
      <c r="S39" s="24">
        <f t="shared" si="0"/>
        <v>0</v>
      </c>
    </row>
    <row r="40" spans="1:19" s="19" customFormat="1">
      <c r="A40" s="18" t="s">
        <v>44</v>
      </c>
      <c r="B40" s="19" t="s">
        <v>25</v>
      </c>
      <c r="C40" s="20"/>
      <c r="D40" s="21" t="s">
        <v>41</v>
      </c>
      <c r="E40" s="26"/>
      <c r="F40" s="22">
        <v>1</v>
      </c>
      <c r="G40" s="23" t="s">
        <v>20</v>
      </c>
      <c r="H40" s="22">
        <v>5</v>
      </c>
      <c r="I40" s="23" t="s">
        <v>41</v>
      </c>
      <c r="J40" s="24">
        <f>975000/5</f>
        <v>195000</v>
      </c>
      <c r="K40" s="21" t="s">
        <v>41</v>
      </c>
      <c r="L40" s="25"/>
      <c r="M40" s="25">
        <v>0.17</v>
      </c>
      <c r="N40" s="22"/>
      <c r="O40" s="56" t="s">
        <v>41</v>
      </c>
      <c r="P40" s="20">
        <f t="shared" si="10"/>
        <v>0</v>
      </c>
      <c r="Q40" s="23" t="s">
        <v>41</v>
      </c>
      <c r="R40" s="24">
        <f t="shared" si="11"/>
        <v>0</v>
      </c>
      <c r="S40" s="24">
        <f t="shared" si="0"/>
        <v>0</v>
      </c>
    </row>
    <row r="41" spans="1:19" s="19" customFormat="1">
      <c r="A41" s="18"/>
      <c r="C41" s="20"/>
      <c r="D41" s="21"/>
      <c r="E41" s="26"/>
      <c r="F41" s="22"/>
      <c r="G41" s="23"/>
      <c r="H41" s="22"/>
      <c r="I41" s="23"/>
      <c r="J41" s="24"/>
      <c r="K41" s="21"/>
      <c r="L41" s="25"/>
      <c r="M41" s="25"/>
      <c r="N41" s="22"/>
      <c r="O41" s="56"/>
      <c r="P41" s="20"/>
      <c r="Q41" s="23"/>
      <c r="R41" s="24"/>
      <c r="S41" s="24"/>
    </row>
    <row r="42" spans="1:19" s="19" customFormat="1">
      <c r="A42" s="88" t="s">
        <v>704</v>
      </c>
      <c r="C42" s="20"/>
      <c r="D42" s="21"/>
      <c r="E42" s="26"/>
      <c r="F42" s="22"/>
      <c r="G42" s="23"/>
      <c r="H42" s="22"/>
      <c r="I42" s="23"/>
      <c r="J42" s="24"/>
      <c r="K42" s="21"/>
      <c r="L42" s="25"/>
      <c r="M42" s="25"/>
      <c r="N42" s="22"/>
      <c r="O42" s="23"/>
      <c r="P42" s="20"/>
      <c r="Q42" s="23"/>
      <c r="R42" s="24"/>
      <c r="S42" s="24"/>
    </row>
    <row r="43" spans="1:19" s="19" customFormat="1">
      <c r="A43" s="18" t="s">
        <v>787</v>
      </c>
      <c r="B43" s="19" t="s">
        <v>707</v>
      </c>
      <c r="C43" s="20"/>
      <c r="D43" s="21" t="s">
        <v>19</v>
      </c>
      <c r="E43" s="26">
        <v>6</v>
      </c>
      <c r="F43" s="22">
        <v>1</v>
      </c>
      <c r="G43" s="23" t="s">
        <v>20</v>
      </c>
      <c r="H43" s="22">
        <v>50</v>
      </c>
      <c r="I43" s="23" t="s">
        <v>19</v>
      </c>
      <c r="J43" s="24">
        <v>12870</v>
      </c>
      <c r="K43" s="21" t="s">
        <v>19</v>
      </c>
      <c r="L43" s="25"/>
      <c r="M43" s="25"/>
      <c r="N43" s="22"/>
      <c r="O43" s="23" t="s">
        <v>19</v>
      </c>
      <c r="P43" s="20">
        <f>(C43+(E43*F43*H43))-N43</f>
        <v>300</v>
      </c>
      <c r="Q43" s="23" t="s">
        <v>19</v>
      </c>
      <c r="R43" s="24">
        <f>P43*(J43-(J43*L43)-((J43-(J43*L43))*M43))</f>
        <v>3861000</v>
      </c>
      <c r="S43" s="24">
        <f t="shared" ref="S43:S45" si="12">R43/1.11</f>
        <v>3478378.3783783782</v>
      </c>
    </row>
    <row r="44" spans="1:19" s="19" customFormat="1">
      <c r="A44" s="18" t="s">
        <v>705</v>
      </c>
      <c r="B44" s="19" t="s">
        <v>707</v>
      </c>
      <c r="C44" s="20"/>
      <c r="D44" s="21" t="s">
        <v>19</v>
      </c>
      <c r="E44" s="26"/>
      <c r="F44" s="22">
        <v>1</v>
      </c>
      <c r="G44" s="23" t="s">
        <v>20</v>
      </c>
      <c r="H44" s="22">
        <v>50</v>
      </c>
      <c r="I44" s="23" t="s">
        <v>19</v>
      </c>
      <c r="J44" s="24">
        <v>12870</v>
      </c>
      <c r="K44" s="21" t="s">
        <v>19</v>
      </c>
      <c r="L44" s="25"/>
      <c r="M44" s="25"/>
      <c r="N44" s="22"/>
      <c r="O44" s="23" t="s">
        <v>19</v>
      </c>
      <c r="P44" s="20">
        <f>(C44+(E44*F44*H44))-N44</f>
        <v>0</v>
      </c>
      <c r="Q44" s="23" t="s">
        <v>19</v>
      </c>
      <c r="R44" s="24">
        <f>P44*(J44-(J44*L44)-((J44-(J44*L44))*M44))</f>
        <v>0</v>
      </c>
      <c r="S44" s="24">
        <f t="shared" si="12"/>
        <v>0</v>
      </c>
    </row>
    <row r="45" spans="1:19" s="19" customFormat="1">
      <c r="A45" s="18" t="s">
        <v>706</v>
      </c>
      <c r="B45" s="19" t="s">
        <v>707</v>
      </c>
      <c r="C45" s="20"/>
      <c r="D45" s="21" t="s">
        <v>19</v>
      </c>
      <c r="E45" s="26"/>
      <c r="F45" s="22">
        <v>1</v>
      </c>
      <c r="G45" s="23" t="s">
        <v>20</v>
      </c>
      <c r="H45" s="22">
        <v>50</v>
      </c>
      <c r="I45" s="23" t="s">
        <v>19</v>
      </c>
      <c r="J45" s="24">
        <v>12870</v>
      </c>
      <c r="K45" s="21" t="s">
        <v>19</v>
      </c>
      <c r="L45" s="25"/>
      <c r="M45" s="25"/>
      <c r="N45" s="22"/>
      <c r="O45" s="23" t="s">
        <v>19</v>
      </c>
      <c r="P45" s="20">
        <f>(C45+(E45*F45*H45))-N45</f>
        <v>0</v>
      </c>
      <c r="Q45" s="23" t="s">
        <v>19</v>
      </c>
      <c r="R45" s="24">
        <f>P45*(J45-(J45*L45)-((J45-(J45*L45))*M45))</f>
        <v>0</v>
      </c>
      <c r="S45" s="24">
        <f t="shared" si="12"/>
        <v>0</v>
      </c>
    </row>
    <row r="46" spans="1:19" s="19" customFormat="1">
      <c r="A46" s="18"/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19" customFormat="1" ht="15.75">
      <c r="A47" s="44" t="s">
        <v>45</v>
      </c>
      <c r="C47" s="20"/>
      <c r="D47" s="21"/>
      <c r="E47" s="26"/>
      <c r="F47" s="22"/>
      <c r="G47" s="23"/>
      <c r="H47" s="22"/>
      <c r="I47" s="23"/>
      <c r="J47" s="24"/>
      <c r="K47" s="21"/>
      <c r="L47" s="25"/>
      <c r="M47" s="25"/>
      <c r="N47" s="22"/>
      <c r="O47" s="23"/>
      <c r="P47" s="20"/>
      <c r="Q47" s="23"/>
      <c r="R47" s="24"/>
      <c r="S47" s="24"/>
    </row>
    <row r="48" spans="1:19" s="19" customFormat="1">
      <c r="A48" s="18" t="s">
        <v>46</v>
      </c>
      <c r="B48" s="19" t="s">
        <v>47</v>
      </c>
      <c r="C48" s="20"/>
      <c r="D48" s="21" t="s">
        <v>19</v>
      </c>
      <c r="E48" s="26"/>
      <c r="F48" s="22">
        <v>2</v>
      </c>
      <c r="G48" s="23" t="s">
        <v>33</v>
      </c>
      <c r="H48" s="22">
        <v>20</v>
      </c>
      <c r="I48" s="23" t="s">
        <v>19</v>
      </c>
      <c r="J48" s="24">
        <v>64000</v>
      </c>
      <c r="K48" s="21" t="s">
        <v>19</v>
      </c>
      <c r="L48" s="25">
        <v>0.125</v>
      </c>
      <c r="M48" s="25">
        <v>0.05</v>
      </c>
      <c r="N48" s="22"/>
      <c r="O48" s="23" t="s">
        <v>19</v>
      </c>
      <c r="P48" s="20">
        <f t="shared" ref="P48:P86" si="13">(C48+(E48*F48*H48))-N48</f>
        <v>0</v>
      </c>
      <c r="Q48" s="23" t="s">
        <v>19</v>
      </c>
      <c r="R48" s="24">
        <f t="shared" ref="R48:R86" si="14">P48*(J48-(J48*L48)-((J48-(J48*L48))*M48))</f>
        <v>0</v>
      </c>
      <c r="S48" s="24">
        <f t="shared" si="0"/>
        <v>0</v>
      </c>
    </row>
    <row r="49" spans="1:19" s="19" customFormat="1">
      <c r="A49" s="18" t="s">
        <v>48</v>
      </c>
      <c r="B49" s="19" t="s">
        <v>47</v>
      </c>
      <c r="C49" s="20"/>
      <c r="D49" s="21" t="s">
        <v>19</v>
      </c>
      <c r="E49" s="26">
        <v>1</v>
      </c>
      <c r="F49" s="22">
        <v>6</v>
      </c>
      <c r="G49" s="23" t="s">
        <v>33</v>
      </c>
      <c r="H49" s="22">
        <v>20</v>
      </c>
      <c r="I49" s="23" t="s">
        <v>19</v>
      </c>
      <c r="J49" s="24">
        <v>47000</v>
      </c>
      <c r="K49" s="21" t="s">
        <v>19</v>
      </c>
      <c r="L49" s="25">
        <v>0.125</v>
      </c>
      <c r="M49" s="25">
        <v>0.05</v>
      </c>
      <c r="N49" s="22"/>
      <c r="O49" s="23" t="s">
        <v>19</v>
      </c>
      <c r="P49" s="20">
        <f t="shared" si="13"/>
        <v>120</v>
      </c>
      <c r="Q49" s="23" t="s">
        <v>19</v>
      </c>
      <c r="R49" s="24">
        <f t="shared" si="14"/>
        <v>4688250</v>
      </c>
      <c r="S49" s="24">
        <f t="shared" si="0"/>
        <v>4223648.6486486485</v>
      </c>
    </row>
    <row r="50" spans="1:19" s="19" customFormat="1">
      <c r="A50" s="18" t="s">
        <v>49</v>
      </c>
      <c r="B50" s="19" t="s">
        <v>47</v>
      </c>
      <c r="C50" s="20"/>
      <c r="D50" s="21" t="s">
        <v>19</v>
      </c>
      <c r="E50" s="26">
        <v>2</v>
      </c>
      <c r="F50" s="22">
        <v>6</v>
      </c>
      <c r="G50" s="23" t="s">
        <v>33</v>
      </c>
      <c r="H50" s="22">
        <v>20</v>
      </c>
      <c r="I50" s="23" t="s">
        <v>19</v>
      </c>
      <c r="J50" s="24">
        <v>47000</v>
      </c>
      <c r="K50" s="21" t="s">
        <v>19</v>
      </c>
      <c r="L50" s="25">
        <v>0.125</v>
      </c>
      <c r="M50" s="25">
        <v>0.05</v>
      </c>
      <c r="N50" s="22"/>
      <c r="O50" s="23" t="s">
        <v>19</v>
      </c>
      <c r="P50" s="20">
        <f t="shared" si="13"/>
        <v>240</v>
      </c>
      <c r="Q50" s="23" t="s">
        <v>19</v>
      </c>
      <c r="R50" s="24">
        <f t="shared" si="14"/>
        <v>9376500</v>
      </c>
      <c r="S50" s="24">
        <f t="shared" si="0"/>
        <v>8447297.297297297</v>
      </c>
    </row>
    <row r="51" spans="1:19" s="19" customFormat="1">
      <c r="A51" s="18" t="s">
        <v>50</v>
      </c>
      <c r="B51" s="19" t="s">
        <v>47</v>
      </c>
      <c r="C51" s="20"/>
      <c r="D51" s="21" t="s">
        <v>19</v>
      </c>
      <c r="E51" s="26"/>
      <c r="F51" s="22">
        <v>6</v>
      </c>
      <c r="G51" s="23" t="s">
        <v>33</v>
      </c>
      <c r="H51" s="22">
        <v>20</v>
      </c>
      <c r="I51" s="23" t="s">
        <v>19</v>
      </c>
      <c r="J51" s="24">
        <v>49000</v>
      </c>
      <c r="K51" s="21" t="s">
        <v>19</v>
      </c>
      <c r="L51" s="25">
        <v>0.125</v>
      </c>
      <c r="M51" s="25">
        <v>0.05</v>
      </c>
      <c r="N51" s="22"/>
      <c r="O51" s="23" t="s">
        <v>19</v>
      </c>
      <c r="P51" s="20">
        <f t="shared" si="13"/>
        <v>0</v>
      </c>
      <c r="Q51" s="23" t="s">
        <v>19</v>
      </c>
      <c r="R51" s="24">
        <f t="shared" si="14"/>
        <v>0</v>
      </c>
      <c r="S51" s="24">
        <f t="shared" si="0"/>
        <v>0</v>
      </c>
    </row>
    <row r="52" spans="1:19" s="19" customFormat="1">
      <c r="A52" s="91" t="s">
        <v>51</v>
      </c>
      <c r="B52" s="19" t="s">
        <v>47</v>
      </c>
      <c r="C52" s="20"/>
      <c r="D52" s="21" t="s">
        <v>19</v>
      </c>
      <c r="E52" s="26">
        <v>1</v>
      </c>
      <c r="F52" s="22">
        <v>4</v>
      </c>
      <c r="G52" s="23" t="s">
        <v>33</v>
      </c>
      <c r="H52" s="22">
        <v>20</v>
      </c>
      <c r="I52" s="23" t="s">
        <v>19</v>
      </c>
      <c r="J52" s="94">
        <v>56000</v>
      </c>
      <c r="K52" s="21" t="s">
        <v>19</v>
      </c>
      <c r="L52" s="25">
        <v>0.125</v>
      </c>
      <c r="M52" s="25">
        <v>0.05</v>
      </c>
      <c r="N52" s="22"/>
      <c r="O52" s="23" t="s">
        <v>19</v>
      </c>
      <c r="P52" s="20">
        <f t="shared" ref="P52" si="15">(C52+(E52*F52*H52))-N52</f>
        <v>80</v>
      </c>
      <c r="Q52" s="23" t="s">
        <v>19</v>
      </c>
      <c r="R52" s="24">
        <f t="shared" ref="R52" si="16">P52*(J52-(J52*L52)-((J52-(J52*L52))*M52))</f>
        <v>3724000</v>
      </c>
      <c r="S52" s="24">
        <f t="shared" ref="S52" si="17">R52/1.11</f>
        <v>3354954.9549549548</v>
      </c>
    </row>
    <row r="53" spans="1:19" s="19" customFormat="1">
      <c r="A53" s="18" t="s">
        <v>51</v>
      </c>
      <c r="B53" s="19" t="s">
        <v>47</v>
      </c>
      <c r="C53" s="20"/>
      <c r="D53" s="21" t="s">
        <v>19</v>
      </c>
      <c r="E53" s="26"/>
      <c r="F53" s="22">
        <v>4</v>
      </c>
      <c r="G53" s="23" t="s">
        <v>33</v>
      </c>
      <c r="H53" s="22">
        <v>20</v>
      </c>
      <c r="I53" s="23" t="s">
        <v>19</v>
      </c>
      <c r="J53" s="24">
        <v>49000</v>
      </c>
      <c r="K53" s="21" t="s">
        <v>19</v>
      </c>
      <c r="L53" s="25">
        <v>0.125</v>
      </c>
      <c r="M53" s="25">
        <v>0.05</v>
      </c>
      <c r="N53" s="22"/>
      <c r="O53" s="23" t="s">
        <v>19</v>
      </c>
      <c r="P53" s="20">
        <f t="shared" si="13"/>
        <v>0</v>
      </c>
      <c r="Q53" s="23" t="s">
        <v>19</v>
      </c>
      <c r="R53" s="24">
        <f t="shared" si="14"/>
        <v>0</v>
      </c>
      <c r="S53" s="24">
        <f t="shared" si="0"/>
        <v>0</v>
      </c>
    </row>
    <row r="54" spans="1:19" s="19" customFormat="1">
      <c r="A54" s="18" t="s">
        <v>52</v>
      </c>
      <c r="B54" s="19" t="s">
        <v>47</v>
      </c>
      <c r="C54" s="20"/>
      <c r="D54" s="21" t="s">
        <v>19</v>
      </c>
      <c r="E54" s="26">
        <v>1</v>
      </c>
      <c r="F54" s="22">
        <v>6</v>
      </c>
      <c r="G54" s="23" t="s">
        <v>33</v>
      </c>
      <c r="H54" s="22">
        <v>20</v>
      </c>
      <c r="I54" s="23" t="s">
        <v>19</v>
      </c>
      <c r="J54" s="24">
        <v>47000</v>
      </c>
      <c r="K54" s="21" t="s">
        <v>19</v>
      </c>
      <c r="L54" s="25">
        <v>0.125</v>
      </c>
      <c r="M54" s="25">
        <v>0.05</v>
      </c>
      <c r="N54" s="22"/>
      <c r="O54" s="23" t="s">
        <v>19</v>
      </c>
      <c r="P54" s="20">
        <f t="shared" si="13"/>
        <v>120</v>
      </c>
      <c r="Q54" s="23" t="s">
        <v>19</v>
      </c>
      <c r="R54" s="24">
        <f t="shared" si="14"/>
        <v>4688250</v>
      </c>
      <c r="S54" s="24">
        <f t="shared" si="0"/>
        <v>4223648.6486486485</v>
      </c>
    </row>
    <row r="55" spans="1:19" s="19" customFormat="1">
      <c r="A55" s="91" t="s">
        <v>846</v>
      </c>
      <c r="B55" s="19" t="s">
        <v>47</v>
      </c>
      <c r="C55" s="20"/>
      <c r="D55" s="21" t="s">
        <v>19</v>
      </c>
      <c r="E55" s="26">
        <v>2</v>
      </c>
      <c r="F55" s="22">
        <v>4</v>
      </c>
      <c r="G55" s="23" t="s">
        <v>33</v>
      </c>
      <c r="H55" s="22">
        <v>20</v>
      </c>
      <c r="I55" s="23" t="s">
        <v>19</v>
      </c>
      <c r="J55" s="24">
        <v>60000</v>
      </c>
      <c r="K55" s="21" t="s">
        <v>19</v>
      </c>
      <c r="L55" s="25">
        <v>0.125</v>
      </c>
      <c r="M55" s="25">
        <v>0.1</v>
      </c>
      <c r="N55" s="22"/>
      <c r="O55" s="23" t="s">
        <v>19</v>
      </c>
      <c r="P55" s="20">
        <f t="shared" si="13"/>
        <v>160</v>
      </c>
      <c r="Q55" s="23" t="s">
        <v>19</v>
      </c>
      <c r="R55" s="24">
        <f t="shared" si="14"/>
        <v>7560000</v>
      </c>
      <c r="S55" s="24">
        <f t="shared" si="0"/>
        <v>6810810.81081081</v>
      </c>
    </row>
    <row r="56" spans="1:19" s="19" customFormat="1">
      <c r="A56" s="18" t="s">
        <v>53</v>
      </c>
      <c r="B56" s="19" t="s">
        <v>47</v>
      </c>
      <c r="C56" s="20"/>
      <c r="D56" s="21" t="s">
        <v>19</v>
      </c>
      <c r="E56" s="26"/>
      <c r="F56" s="22">
        <v>4</v>
      </c>
      <c r="G56" s="23" t="s">
        <v>33</v>
      </c>
      <c r="H56" s="22">
        <v>40</v>
      </c>
      <c r="I56" s="23" t="s">
        <v>19</v>
      </c>
      <c r="J56" s="24">
        <v>37000</v>
      </c>
      <c r="K56" s="21" t="s">
        <v>19</v>
      </c>
      <c r="L56" s="25">
        <v>0.125</v>
      </c>
      <c r="M56" s="25">
        <v>0.05</v>
      </c>
      <c r="N56" s="22"/>
      <c r="O56" s="23" t="s">
        <v>19</v>
      </c>
      <c r="P56" s="20">
        <f t="shared" si="13"/>
        <v>0</v>
      </c>
      <c r="Q56" s="23" t="s">
        <v>19</v>
      </c>
      <c r="R56" s="24">
        <f t="shared" si="14"/>
        <v>0</v>
      </c>
      <c r="S56" s="24">
        <f t="shared" si="0"/>
        <v>0</v>
      </c>
    </row>
    <row r="57" spans="1:19" s="19" customFormat="1">
      <c r="A57" s="18" t="s">
        <v>54</v>
      </c>
      <c r="B57" s="19" t="s">
        <v>47</v>
      </c>
      <c r="C57" s="20"/>
      <c r="D57" s="21" t="s">
        <v>19</v>
      </c>
      <c r="E57" s="26"/>
      <c r="F57" s="22">
        <v>4</v>
      </c>
      <c r="G57" s="23" t="s">
        <v>33</v>
      </c>
      <c r="H57" s="22">
        <v>20</v>
      </c>
      <c r="I57" s="23" t="s">
        <v>19</v>
      </c>
      <c r="J57" s="24">
        <v>50000</v>
      </c>
      <c r="K57" s="21" t="s">
        <v>19</v>
      </c>
      <c r="L57" s="25">
        <v>0.125</v>
      </c>
      <c r="M57" s="25">
        <v>0.05</v>
      </c>
      <c r="N57" s="22"/>
      <c r="O57" s="23" t="s">
        <v>19</v>
      </c>
      <c r="P57" s="20">
        <f t="shared" si="13"/>
        <v>0</v>
      </c>
      <c r="Q57" s="23" t="s">
        <v>19</v>
      </c>
      <c r="R57" s="24">
        <f t="shared" si="14"/>
        <v>0</v>
      </c>
      <c r="S57" s="24">
        <f t="shared" si="0"/>
        <v>0</v>
      </c>
    </row>
    <row r="58" spans="1:19" s="19" customFormat="1">
      <c r="A58" s="18" t="s">
        <v>797</v>
      </c>
      <c r="B58" s="19" t="s">
        <v>47</v>
      </c>
      <c r="C58" s="20"/>
      <c r="D58" s="21" t="s">
        <v>19</v>
      </c>
      <c r="E58" s="26"/>
      <c r="F58" s="22">
        <v>4</v>
      </c>
      <c r="G58" s="23" t="s">
        <v>33</v>
      </c>
      <c r="H58" s="22">
        <v>20</v>
      </c>
      <c r="I58" s="23" t="s">
        <v>19</v>
      </c>
      <c r="J58" s="24">
        <v>50000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13"/>
        <v>0</v>
      </c>
      <c r="Q58" s="23" t="s">
        <v>19</v>
      </c>
      <c r="R58" s="24">
        <f t="shared" si="14"/>
        <v>0</v>
      </c>
      <c r="S58" s="24">
        <f t="shared" si="0"/>
        <v>0</v>
      </c>
    </row>
    <row r="59" spans="1:19" s="19" customFormat="1">
      <c r="A59" s="18" t="s">
        <v>55</v>
      </c>
      <c r="B59" s="19" t="s">
        <v>47</v>
      </c>
      <c r="C59" s="20"/>
      <c r="D59" s="21" t="s">
        <v>19</v>
      </c>
      <c r="E59" s="26"/>
      <c r="F59" s="22">
        <v>4</v>
      </c>
      <c r="G59" s="23" t="s">
        <v>33</v>
      </c>
      <c r="H59" s="22">
        <v>20</v>
      </c>
      <c r="I59" s="23" t="s">
        <v>19</v>
      </c>
      <c r="J59" s="24">
        <v>67000</v>
      </c>
      <c r="K59" s="21" t="s">
        <v>19</v>
      </c>
      <c r="L59" s="25">
        <v>0.125</v>
      </c>
      <c r="M59" s="25">
        <v>0.05</v>
      </c>
      <c r="N59" s="22"/>
      <c r="O59" s="23" t="s">
        <v>19</v>
      </c>
      <c r="P59" s="20">
        <f t="shared" si="13"/>
        <v>0</v>
      </c>
      <c r="Q59" s="23" t="s">
        <v>19</v>
      </c>
      <c r="R59" s="24">
        <f t="shared" si="14"/>
        <v>0</v>
      </c>
      <c r="S59" s="24">
        <f t="shared" si="0"/>
        <v>0</v>
      </c>
    </row>
    <row r="60" spans="1:19" s="19" customFormat="1">
      <c r="A60" s="18" t="s">
        <v>796</v>
      </c>
      <c r="B60" s="19" t="s">
        <v>47</v>
      </c>
      <c r="C60" s="20"/>
      <c r="D60" s="21" t="s">
        <v>19</v>
      </c>
      <c r="E60" s="26"/>
      <c r="F60" s="22">
        <v>6</v>
      </c>
      <c r="G60" s="23" t="s">
        <v>33</v>
      </c>
      <c r="H60" s="22">
        <v>10</v>
      </c>
      <c r="I60" s="23" t="s">
        <v>19</v>
      </c>
      <c r="J60" s="24">
        <v>77000</v>
      </c>
      <c r="K60" s="21" t="s">
        <v>19</v>
      </c>
      <c r="L60" s="25">
        <v>0.125</v>
      </c>
      <c r="M60" s="25">
        <v>0.05</v>
      </c>
      <c r="N60" s="22"/>
      <c r="O60" s="23" t="s">
        <v>19</v>
      </c>
      <c r="P60" s="20">
        <f t="shared" si="13"/>
        <v>0</v>
      </c>
      <c r="Q60" s="23" t="s">
        <v>19</v>
      </c>
      <c r="R60" s="24">
        <f t="shared" si="14"/>
        <v>0</v>
      </c>
      <c r="S60" s="24">
        <f t="shared" si="0"/>
        <v>0</v>
      </c>
    </row>
    <row r="61" spans="1:19" s="19" customFormat="1">
      <c r="A61" s="18" t="s">
        <v>56</v>
      </c>
      <c r="B61" s="19" t="s">
        <v>47</v>
      </c>
      <c r="C61" s="20"/>
      <c r="D61" s="21" t="s">
        <v>19</v>
      </c>
      <c r="E61" s="26"/>
      <c r="F61" s="22">
        <v>6</v>
      </c>
      <c r="G61" s="23" t="s">
        <v>33</v>
      </c>
      <c r="H61" s="22">
        <v>10</v>
      </c>
      <c r="I61" s="23" t="s">
        <v>19</v>
      </c>
      <c r="J61" s="24">
        <v>73000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si="13"/>
        <v>0</v>
      </c>
      <c r="Q61" s="23" t="s">
        <v>19</v>
      </c>
      <c r="R61" s="24">
        <f t="shared" si="14"/>
        <v>0</v>
      </c>
      <c r="S61" s="24">
        <f t="shared" si="0"/>
        <v>0</v>
      </c>
    </row>
    <row r="62" spans="1:19" s="19" customFormat="1">
      <c r="A62" s="18" t="s">
        <v>57</v>
      </c>
      <c r="B62" s="19" t="s">
        <v>47</v>
      </c>
      <c r="C62" s="20"/>
      <c r="D62" s="21" t="s">
        <v>19</v>
      </c>
      <c r="E62" s="26"/>
      <c r="F62" s="22">
        <v>8</v>
      </c>
      <c r="G62" s="23" t="s">
        <v>33</v>
      </c>
      <c r="H62" s="22">
        <v>10</v>
      </c>
      <c r="I62" s="23" t="s">
        <v>19</v>
      </c>
      <c r="J62" s="24">
        <v>56000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13"/>
        <v>0</v>
      </c>
      <c r="Q62" s="23" t="s">
        <v>19</v>
      </c>
      <c r="R62" s="24">
        <f t="shared" si="14"/>
        <v>0</v>
      </c>
      <c r="S62" s="24">
        <f t="shared" si="0"/>
        <v>0</v>
      </c>
    </row>
    <row r="63" spans="1:19" s="19" customFormat="1">
      <c r="A63" s="18" t="s">
        <v>58</v>
      </c>
      <c r="B63" s="19" t="s">
        <v>47</v>
      </c>
      <c r="C63" s="20"/>
      <c r="D63" s="21" t="s">
        <v>19</v>
      </c>
      <c r="E63" s="26"/>
      <c r="F63" s="22">
        <v>6</v>
      </c>
      <c r="G63" s="23" t="s">
        <v>33</v>
      </c>
      <c r="H63" s="22">
        <v>20</v>
      </c>
      <c r="I63" s="23" t="s">
        <v>19</v>
      </c>
      <c r="J63" s="24">
        <v>47000</v>
      </c>
      <c r="K63" s="21" t="s">
        <v>19</v>
      </c>
      <c r="L63" s="25">
        <v>0.125</v>
      </c>
      <c r="M63" s="25">
        <v>0.05</v>
      </c>
      <c r="N63" s="22"/>
      <c r="O63" s="23" t="s">
        <v>19</v>
      </c>
      <c r="P63" s="20">
        <f t="shared" si="13"/>
        <v>0</v>
      </c>
      <c r="Q63" s="23" t="s">
        <v>19</v>
      </c>
      <c r="R63" s="24">
        <f t="shared" si="14"/>
        <v>0</v>
      </c>
      <c r="S63" s="24">
        <f t="shared" si="0"/>
        <v>0</v>
      </c>
    </row>
    <row r="64" spans="1:19" s="19" customFormat="1">
      <c r="A64" s="91" t="s">
        <v>59</v>
      </c>
      <c r="B64" s="19" t="s">
        <v>47</v>
      </c>
      <c r="C64" s="20"/>
      <c r="D64" s="21" t="s">
        <v>19</v>
      </c>
      <c r="E64" s="26">
        <v>1</v>
      </c>
      <c r="F64" s="22">
        <v>8</v>
      </c>
      <c r="G64" s="23" t="s">
        <v>33</v>
      </c>
      <c r="H64" s="22">
        <v>20</v>
      </c>
      <c r="I64" s="23" t="s">
        <v>19</v>
      </c>
      <c r="J64" s="24">
        <v>32000</v>
      </c>
      <c r="K64" s="21" t="s">
        <v>19</v>
      </c>
      <c r="L64" s="93">
        <v>0.125</v>
      </c>
      <c r="M64" s="93">
        <v>0.1</v>
      </c>
      <c r="N64" s="22"/>
      <c r="O64" s="23" t="s">
        <v>19</v>
      </c>
      <c r="P64" s="20">
        <f t="shared" ref="P64" si="18">(C64+(E64*F64*H64))-N64</f>
        <v>160</v>
      </c>
      <c r="Q64" s="23" t="s">
        <v>19</v>
      </c>
      <c r="R64" s="24">
        <f t="shared" ref="R64" si="19">P64*(J64-(J64*L64)-((J64-(J64*L64))*M64))</f>
        <v>4032000</v>
      </c>
      <c r="S64" s="24">
        <f t="shared" ref="S64" si="20">R64/1.11</f>
        <v>3632432.4324324322</v>
      </c>
    </row>
    <row r="65" spans="1:19" s="19" customFormat="1">
      <c r="A65" s="18" t="s">
        <v>59</v>
      </c>
      <c r="B65" s="19" t="s">
        <v>47</v>
      </c>
      <c r="C65" s="20"/>
      <c r="D65" s="21" t="s">
        <v>19</v>
      </c>
      <c r="E65" s="26"/>
      <c r="F65" s="22">
        <v>8</v>
      </c>
      <c r="G65" s="23" t="s">
        <v>33</v>
      </c>
      <c r="H65" s="22">
        <v>20</v>
      </c>
      <c r="I65" s="23" t="s">
        <v>19</v>
      </c>
      <c r="J65" s="24">
        <v>32000</v>
      </c>
      <c r="K65" s="21" t="s">
        <v>19</v>
      </c>
      <c r="L65" s="25">
        <v>0.125</v>
      </c>
      <c r="M65" s="25">
        <v>0.05</v>
      </c>
      <c r="N65" s="22"/>
      <c r="O65" s="23" t="s">
        <v>19</v>
      </c>
      <c r="P65" s="20">
        <f t="shared" si="13"/>
        <v>0</v>
      </c>
      <c r="Q65" s="23" t="s">
        <v>19</v>
      </c>
      <c r="R65" s="24">
        <f t="shared" si="14"/>
        <v>0</v>
      </c>
      <c r="S65" s="24">
        <f t="shared" si="0"/>
        <v>0</v>
      </c>
    </row>
    <row r="66" spans="1:19" s="19" customFormat="1">
      <c r="A66" s="91" t="s">
        <v>60</v>
      </c>
      <c r="B66" s="19" t="s">
        <v>47</v>
      </c>
      <c r="C66" s="20"/>
      <c r="D66" s="21" t="s">
        <v>19</v>
      </c>
      <c r="E66" s="26">
        <v>1</v>
      </c>
      <c r="F66" s="22">
        <v>8</v>
      </c>
      <c r="G66" s="23" t="s">
        <v>33</v>
      </c>
      <c r="H66" s="22">
        <v>20</v>
      </c>
      <c r="I66" s="23" t="s">
        <v>19</v>
      </c>
      <c r="J66" s="24">
        <v>27500</v>
      </c>
      <c r="K66" s="21" t="s">
        <v>19</v>
      </c>
      <c r="L66" s="93">
        <v>0.125</v>
      </c>
      <c r="M66" s="93">
        <v>0.1</v>
      </c>
      <c r="N66" s="22"/>
      <c r="O66" s="23" t="s">
        <v>19</v>
      </c>
      <c r="P66" s="20">
        <f t="shared" ref="P66" si="21">(C66+(E66*F66*H66))-N66</f>
        <v>160</v>
      </c>
      <c r="Q66" s="23" t="s">
        <v>19</v>
      </c>
      <c r="R66" s="24">
        <f t="shared" ref="R66" si="22">P66*(J66-(J66*L66)-((J66-(J66*L66))*M66))</f>
        <v>3465000</v>
      </c>
      <c r="S66" s="24">
        <f t="shared" ref="S66" si="23">R66/1.11</f>
        <v>3121621.6216216213</v>
      </c>
    </row>
    <row r="67" spans="1:19" s="19" customFormat="1">
      <c r="A67" s="18" t="s">
        <v>60</v>
      </c>
      <c r="B67" s="19" t="s">
        <v>47</v>
      </c>
      <c r="C67" s="20"/>
      <c r="D67" s="21" t="s">
        <v>19</v>
      </c>
      <c r="E67" s="26"/>
      <c r="F67" s="22">
        <v>8</v>
      </c>
      <c r="G67" s="23" t="s">
        <v>33</v>
      </c>
      <c r="H67" s="22">
        <v>20</v>
      </c>
      <c r="I67" s="23" t="s">
        <v>19</v>
      </c>
      <c r="J67" s="24">
        <v>27500</v>
      </c>
      <c r="K67" s="21" t="s">
        <v>19</v>
      </c>
      <c r="L67" s="25">
        <v>0.125</v>
      </c>
      <c r="M67" s="25">
        <v>0.05</v>
      </c>
      <c r="N67" s="22"/>
      <c r="O67" s="23" t="s">
        <v>19</v>
      </c>
      <c r="P67" s="20">
        <f t="shared" si="13"/>
        <v>0</v>
      </c>
      <c r="Q67" s="23" t="s">
        <v>19</v>
      </c>
      <c r="R67" s="24">
        <f t="shared" si="14"/>
        <v>0</v>
      </c>
      <c r="S67" s="24">
        <f t="shared" si="0"/>
        <v>0</v>
      </c>
    </row>
    <row r="68" spans="1:19" s="19" customFormat="1">
      <c r="A68" s="91" t="s">
        <v>61</v>
      </c>
      <c r="B68" s="19" t="s">
        <v>47</v>
      </c>
      <c r="C68" s="20"/>
      <c r="D68" s="21" t="s">
        <v>19</v>
      </c>
      <c r="E68" s="26">
        <v>1</v>
      </c>
      <c r="F68" s="22">
        <v>4</v>
      </c>
      <c r="G68" s="23" t="s">
        <v>33</v>
      </c>
      <c r="H68" s="22">
        <v>20</v>
      </c>
      <c r="I68" s="23" t="s">
        <v>19</v>
      </c>
      <c r="J68" s="94">
        <v>55000</v>
      </c>
      <c r="K68" s="21" t="s">
        <v>19</v>
      </c>
      <c r="L68" s="25">
        <v>0.125</v>
      </c>
      <c r="M68" s="25">
        <v>0.05</v>
      </c>
      <c r="N68" s="22"/>
      <c r="O68" s="23" t="s">
        <v>19</v>
      </c>
      <c r="P68" s="20">
        <f t="shared" ref="P68" si="24">(C68+(E68*F68*H68))-N68</f>
        <v>80</v>
      </c>
      <c r="Q68" s="23" t="s">
        <v>19</v>
      </c>
      <c r="R68" s="24">
        <f t="shared" ref="R68" si="25">P68*(J68-(J68*L68)-((J68-(J68*L68))*M68))</f>
        <v>3657500</v>
      </c>
      <c r="S68" s="24">
        <f t="shared" ref="S68" si="26">R68/1.11</f>
        <v>3295045.0450450447</v>
      </c>
    </row>
    <row r="69" spans="1:19" s="19" customFormat="1">
      <c r="A69" s="18" t="s">
        <v>61</v>
      </c>
      <c r="B69" s="19" t="s">
        <v>47</v>
      </c>
      <c r="C69" s="20"/>
      <c r="D69" s="21" t="s">
        <v>19</v>
      </c>
      <c r="E69" s="26"/>
      <c r="F69" s="22">
        <v>4</v>
      </c>
      <c r="G69" s="23" t="s">
        <v>33</v>
      </c>
      <c r="H69" s="22">
        <v>20</v>
      </c>
      <c r="I69" s="23" t="s">
        <v>19</v>
      </c>
      <c r="J69" s="24">
        <v>54000</v>
      </c>
      <c r="K69" s="21" t="s">
        <v>19</v>
      </c>
      <c r="L69" s="25">
        <v>0.125</v>
      </c>
      <c r="M69" s="25">
        <v>0.05</v>
      </c>
      <c r="N69" s="22"/>
      <c r="O69" s="23" t="s">
        <v>19</v>
      </c>
      <c r="P69" s="20">
        <f t="shared" si="13"/>
        <v>0</v>
      </c>
      <c r="Q69" s="23" t="s">
        <v>19</v>
      </c>
      <c r="R69" s="24">
        <f t="shared" si="14"/>
        <v>0</v>
      </c>
      <c r="S69" s="24">
        <f t="shared" si="0"/>
        <v>0</v>
      </c>
    </row>
    <row r="70" spans="1:19" s="19" customFormat="1">
      <c r="A70" s="18" t="s">
        <v>62</v>
      </c>
      <c r="B70" s="19" t="s">
        <v>47</v>
      </c>
      <c r="C70" s="20"/>
      <c r="D70" s="21" t="s">
        <v>19</v>
      </c>
      <c r="E70" s="26">
        <v>2</v>
      </c>
      <c r="F70" s="22">
        <v>6</v>
      </c>
      <c r="G70" s="23" t="s">
        <v>33</v>
      </c>
      <c r="H70" s="22">
        <v>10</v>
      </c>
      <c r="I70" s="23" t="s">
        <v>19</v>
      </c>
      <c r="J70" s="24">
        <v>74000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 t="shared" ref="P70" si="27">(C70+(E70*F70*H70))-N70</f>
        <v>120</v>
      </c>
      <c r="Q70" s="23" t="s">
        <v>19</v>
      </c>
      <c r="R70" s="24">
        <f t="shared" ref="R70" si="28">P70*(J70-(J70*L70)-((J70-(J70*L70))*M70))</f>
        <v>6993000</v>
      </c>
      <c r="S70" s="24">
        <f t="shared" ref="S70" si="29">R70/1.11</f>
        <v>6299999.9999999991</v>
      </c>
    </row>
    <row r="71" spans="1:19" s="19" customFormat="1">
      <c r="A71" s="18" t="s">
        <v>62</v>
      </c>
      <c r="B71" s="19" t="s">
        <v>47</v>
      </c>
      <c r="C71" s="20"/>
      <c r="D71" s="21" t="s">
        <v>19</v>
      </c>
      <c r="E71" s="26">
        <v>1</v>
      </c>
      <c r="F71" s="22">
        <v>6</v>
      </c>
      <c r="G71" s="23" t="s">
        <v>33</v>
      </c>
      <c r="H71" s="22">
        <v>10</v>
      </c>
      <c r="I71" s="23" t="s">
        <v>19</v>
      </c>
      <c r="J71" s="24">
        <v>74000</v>
      </c>
      <c r="K71" s="21" t="s">
        <v>19</v>
      </c>
      <c r="L71" s="25">
        <v>0.125</v>
      </c>
      <c r="M71" s="25">
        <v>0.05</v>
      </c>
      <c r="N71" s="22"/>
      <c r="O71" s="23" t="s">
        <v>19</v>
      </c>
      <c r="P71" s="20">
        <f t="shared" si="13"/>
        <v>60</v>
      </c>
      <c r="Q71" s="23" t="s">
        <v>19</v>
      </c>
      <c r="R71" s="24">
        <f t="shared" si="14"/>
        <v>3690750</v>
      </c>
      <c r="S71" s="24">
        <f t="shared" si="0"/>
        <v>3324999.9999999995</v>
      </c>
    </row>
    <row r="72" spans="1:19" s="19" customFormat="1">
      <c r="A72" s="91" t="s">
        <v>63</v>
      </c>
      <c r="B72" s="19" t="s">
        <v>47</v>
      </c>
      <c r="C72" s="20"/>
      <c r="D72" s="21" t="s">
        <v>19</v>
      </c>
      <c r="E72" s="26">
        <v>1</v>
      </c>
      <c r="F72" s="22">
        <v>6</v>
      </c>
      <c r="G72" s="23" t="s">
        <v>33</v>
      </c>
      <c r="H72" s="22">
        <v>20</v>
      </c>
      <c r="I72" s="23" t="s">
        <v>19</v>
      </c>
      <c r="J72" s="24">
        <v>52000</v>
      </c>
      <c r="K72" s="21" t="s">
        <v>19</v>
      </c>
      <c r="L72" s="93">
        <v>0.125</v>
      </c>
      <c r="M72" s="93">
        <v>0.05</v>
      </c>
      <c r="N72" s="22"/>
      <c r="O72" s="23" t="s">
        <v>19</v>
      </c>
      <c r="P72" s="20">
        <f t="shared" ref="P72" si="30">(C72+(E72*F72*H72))-N72</f>
        <v>120</v>
      </c>
      <c r="Q72" s="23" t="s">
        <v>19</v>
      </c>
      <c r="R72" s="24">
        <f t="shared" ref="R72" si="31">P72*(J72-(J72*L72)-((J72-(J72*L72))*M72))</f>
        <v>5187000</v>
      </c>
      <c r="S72" s="24">
        <f t="shared" ref="S72" si="32">R72/1.11</f>
        <v>4672972.9729729723</v>
      </c>
    </row>
    <row r="73" spans="1:19" s="19" customFormat="1">
      <c r="A73" s="18" t="s">
        <v>63</v>
      </c>
      <c r="B73" s="19" t="s">
        <v>47</v>
      </c>
      <c r="C73" s="20"/>
      <c r="D73" s="21" t="s">
        <v>19</v>
      </c>
      <c r="E73" s="26"/>
      <c r="F73" s="22">
        <v>6</v>
      </c>
      <c r="G73" s="23" t="s">
        <v>33</v>
      </c>
      <c r="H73" s="22">
        <v>20</v>
      </c>
      <c r="I73" s="23" t="s">
        <v>19</v>
      </c>
      <c r="J73" s="24">
        <v>52000</v>
      </c>
      <c r="K73" s="21" t="s">
        <v>19</v>
      </c>
      <c r="L73" s="25">
        <v>0.125</v>
      </c>
      <c r="M73" s="25">
        <v>0.1</v>
      </c>
      <c r="N73" s="22"/>
      <c r="O73" s="23" t="s">
        <v>19</v>
      </c>
      <c r="P73" s="20">
        <f t="shared" si="13"/>
        <v>0</v>
      </c>
      <c r="Q73" s="23" t="s">
        <v>19</v>
      </c>
      <c r="R73" s="24">
        <f t="shared" si="14"/>
        <v>0</v>
      </c>
      <c r="S73" s="24">
        <f t="shared" si="0"/>
        <v>0</v>
      </c>
    </row>
    <row r="74" spans="1:19" s="19" customFormat="1">
      <c r="A74" s="18" t="s">
        <v>64</v>
      </c>
      <c r="B74" s="19" t="s">
        <v>47</v>
      </c>
      <c r="C74" s="20"/>
      <c r="D74" s="21" t="s">
        <v>19</v>
      </c>
      <c r="E74" s="26">
        <v>1</v>
      </c>
      <c r="F74" s="22">
        <v>6</v>
      </c>
      <c r="G74" s="23" t="s">
        <v>33</v>
      </c>
      <c r="H74" s="22">
        <v>20</v>
      </c>
      <c r="I74" s="23" t="s">
        <v>19</v>
      </c>
      <c r="J74" s="24">
        <v>32500</v>
      </c>
      <c r="K74" s="21" t="s">
        <v>19</v>
      </c>
      <c r="L74" s="25">
        <v>0.125</v>
      </c>
      <c r="M74" s="25">
        <v>0.05</v>
      </c>
      <c r="N74" s="22"/>
      <c r="O74" s="23" t="s">
        <v>19</v>
      </c>
      <c r="P74" s="20">
        <f t="shared" si="13"/>
        <v>120</v>
      </c>
      <c r="Q74" s="23" t="s">
        <v>19</v>
      </c>
      <c r="R74" s="24">
        <f t="shared" si="14"/>
        <v>3241875</v>
      </c>
      <c r="S74" s="24">
        <f t="shared" si="0"/>
        <v>2920608.1081081079</v>
      </c>
    </row>
    <row r="75" spans="1:19" s="19" customFormat="1">
      <c r="A75" s="91" t="s">
        <v>847</v>
      </c>
      <c r="B75" s="19" t="s">
        <v>47</v>
      </c>
      <c r="C75" s="20"/>
      <c r="D75" s="21" t="s">
        <v>19</v>
      </c>
      <c r="E75" s="26">
        <v>2</v>
      </c>
      <c r="F75" s="22">
        <v>8</v>
      </c>
      <c r="G75" s="23" t="s">
        <v>33</v>
      </c>
      <c r="H75" s="22">
        <v>10</v>
      </c>
      <c r="I75" s="23" t="s">
        <v>19</v>
      </c>
      <c r="J75" s="24">
        <v>62000</v>
      </c>
      <c r="K75" s="21" t="s">
        <v>19</v>
      </c>
      <c r="L75" s="25">
        <v>0.125</v>
      </c>
      <c r="M75" s="25">
        <v>0.1</v>
      </c>
      <c r="N75" s="22"/>
      <c r="O75" s="23" t="s">
        <v>19</v>
      </c>
      <c r="P75" s="20">
        <f t="shared" si="13"/>
        <v>160</v>
      </c>
      <c r="Q75" s="23" t="s">
        <v>19</v>
      </c>
      <c r="R75" s="24">
        <f t="shared" si="14"/>
        <v>7812000</v>
      </c>
      <c r="S75" s="24">
        <f t="shared" si="0"/>
        <v>7037837.8378378376</v>
      </c>
    </row>
    <row r="76" spans="1:19" s="19" customFormat="1">
      <c r="A76" s="91" t="s">
        <v>848</v>
      </c>
      <c r="B76" s="19" t="s">
        <v>47</v>
      </c>
      <c r="C76" s="20"/>
      <c r="D76" s="21" t="s">
        <v>19</v>
      </c>
      <c r="E76" s="26">
        <v>2</v>
      </c>
      <c r="F76" s="22">
        <v>6</v>
      </c>
      <c r="G76" s="23" t="s">
        <v>33</v>
      </c>
      <c r="H76" s="22">
        <v>10</v>
      </c>
      <c r="I76" s="23" t="s">
        <v>19</v>
      </c>
      <c r="J76" s="24">
        <v>88000</v>
      </c>
      <c r="K76" s="21" t="s">
        <v>19</v>
      </c>
      <c r="L76" s="25">
        <v>0.125</v>
      </c>
      <c r="M76" s="25">
        <v>0.1</v>
      </c>
      <c r="N76" s="22"/>
      <c r="O76" s="23" t="s">
        <v>19</v>
      </c>
      <c r="P76" s="20">
        <f t="shared" si="13"/>
        <v>120</v>
      </c>
      <c r="Q76" s="23" t="s">
        <v>19</v>
      </c>
      <c r="R76" s="24">
        <f t="shared" si="14"/>
        <v>8316000</v>
      </c>
      <c r="S76" s="24">
        <f t="shared" si="0"/>
        <v>7491891.8918918911</v>
      </c>
    </row>
    <row r="77" spans="1:19" s="19" customFormat="1">
      <c r="A77" s="18" t="s">
        <v>65</v>
      </c>
      <c r="B77" s="19" t="s">
        <v>47</v>
      </c>
      <c r="C77" s="20"/>
      <c r="D77" s="21" t="s">
        <v>19</v>
      </c>
      <c r="E77" s="26"/>
      <c r="F77" s="22">
        <v>6</v>
      </c>
      <c r="G77" s="23" t="s">
        <v>33</v>
      </c>
      <c r="H77" s="22">
        <v>10</v>
      </c>
      <c r="I77" s="23" t="s">
        <v>19</v>
      </c>
      <c r="J77" s="24">
        <v>65000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 t="shared" si="13"/>
        <v>0</v>
      </c>
      <c r="Q77" s="23" t="s">
        <v>19</v>
      </c>
      <c r="R77" s="24">
        <f t="shared" si="14"/>
        <v>0</v>
      </c>
      <c r="S77" s="24">
        <f t="shared" si="0"/>
        <v>0</v>
      </c>
    </row>
    <row r="78" spans="1:19" s="19" customFormat="1">
      <c r="A78" s="91" t="s">
        <v>66</v>
      </c>
      <c r="B78" s="19" t="s">
        <v>47</v>
      </c>
      <c r="C78" s="20"/>
      <c r="D78" s="21" t="s">
        <v>19</v>
      </c>
      <c r="E78" s="26">
        <v>1</v>
      </c>
      <c r="F78" s="22">
        <v>6</v>
      </c>
      <c r="G78" s="23" t="s">
        <v>33</v>
      </c>
      <c r="H78" s="22">
        <v>10</v>
      </c>
      <c r="I78" s="23" t="s">
        <v>19</v>
      </c>
      <c r="J78" s="94">
        <v>79000</v>
      </c>
      <c r="K78" s="21" t="s">
        <v>19</v>
      </c>
      <c r="L78" s="25">
        <v>0.125</v>
      </c>
      <c r="M78" s="25">
        <v>0.05</v>
      </c>
      <c r="N78" s="22"/>
      <c r="O78" s="23" t="s">
        <v>19</v>
      </c>
      <c r="P78" s="20">
        <f t="shared" ref="P78" si="33">(C78+(E78*F78*H78))-N78</f>
        <v>60</v>
      </c>
      <c r="Q78" s="23" t="s">
        <v>19</v>
      </c>
      <c r="R78" s="24">
        <f t="shared" ref="R78" si="34">P78*(J78-(J78*L78)-((J78-(J78*L78))*M78))</f>
        <v>3940125</v>
      </c>
      <c r="S78" s="24">
        <f t="shared" ref="S78" si="35">R78/1.11</f>
        <v>3549662.1621621619</v>
      </c>
    </row>
    <row r="79" spans="1:19" s="19" customFormat="1">
      <c r="A79" s="18" t="s">
        <v>66</v>
      </c>
      <c r="B79" s="19" t="s">
        <v>47</v>
      </c>
      <c r="C79" s="20"/>
      <c r="D79" s="21" t="s">
        <v>19</v>
      </c>
      <c r="E79" s="26"/>
      <c r="F79" s="22">
        <v>6</v>
      </c>
      <c r="G79" s="23" t="s">
        <v>33</v>
      </c>
      <c r="H79" s="22">
        <v>10</v>
      </c>
      <c r="I79" s="23" t="s">
        <v>19</v>
      </c>
      <c r="J79" s="24">
        <v>71000</v>
      </c>
      <c r="K79" s="21" t="s">
        <v>19</v>
      </c>
      <c r="L79" s="25">
        <v>0.125</v>
      </c>
      <c r="M79" s="25">
        <v>0.05</v>
      </c>
      <c r="N79" s="22"/>
      <c r="O79" s="23" t="s">
        <v>19</v>
      </c>
      <c r="P79" s="20">
        <f t="shared" si="13"/>
        <v>0</v>
      </c>
      <c r="Q79" s="23" t="s">
        <v>19</v>
      </c>
      <c r="R79" s="24">
        <f t="shared" si="14"/>
        <v>0</v>
      </c>
      <c r="S79" s="24">
        <f t="shared" si="0"/>
        <v>0</v>
      </c>
    </row>
    <row r="80" spans="1:19" s="19" customFormat="1">
      <c r="A80" s="91" t="s">
        <v>67</v>
      </c>
      <c r="B80" s="19" t="s">
        <v>47</v>
      </c>
      <c r="C80" s="20"/>
      <c r="D80" s="21" t="s">
        <v>19</v>
      </c>
      <c r="E80" s="26">
        <v>1</v>
      </c>
      <c r="F80" s="22">
        <v>6</v>
      </c>
      <c r="G80" s="23" t="s">
        <v>33</v>
      </c>
      <c r="H80" s="22">
        <v>10</v>
      </c>
      <c r="I80" s="23" t="s">
        <v>19</v>
      </c>
      <c r="J80" s="94">
        <v>82000</v>
      </c>
      <c r="K80" s="21" t="s">
        <v>19</v>
      </c>
      <c r="L80" s="25">
        <v>0.125</v>
      </c>
      <c r="M80" s="25">
        <v>0.05</v>
      </c>
      <c r="N80" s="22"/>
      <c r="O80" s="23" t="s">
        <v>19</v>
      </c>
      <c r="P80" s="20">
        <f t="shared" ref="P80" si="36">(C80+(E80*F80*H80))-N80</f>
        <v>60</v>
      </c>
      <c r="Q80" s="23" t="s">
        <v>19</v>
      </c>
      <c r="R80" s="24">
        <f t="shared" ref="R80" si="37">P80*(J80-(J80*L80)-((J80-(J80*L80))*M80))</f>
        <v>4089750</v>
      </c>
      <c r="S80" s="24">
        <f t="shared" ref="S80" si="38">R80/1.11</f>
        <v>3684459.4594594589</v>
      </c>
    </row>
    <row r="81" spans="1:19" s="19" customFormat="1">
      <c r="A81" s="18" t="s">
        <v>67</v>
      </c>
      <c r="B81" s="19" t="s">
        <v>47</v>
      </c>
      <c r="C81" s="20"/>
      <c r="D81" s="21" t="s">
        <v>19</v>
      </c>
      <c r="E81" s="26"/>
      <c r="F81" s="22">
        <v>6</v>
      </c>
      <c r="G81" s="23" t="s">
        <v>33</v>
      </c>
      <c r="H81" s="22">
        <v>10</v>
      </c>
      <c r="I81" s="23" t="s">
        <v>19</v>
      </c>
      <c r="J81" s="24">
        <v>75000</v>
      </c>
      <c r="K81" s="21" t="s">
        <v>19</v>
      </c>
      <c r="L81" s="25">
        <v>0.125</v>
      </c>
      <c r="M81" s="25">
        <v>0.05</v>
      </c>
      <c r="N81" s="22"/>
      <c r="O81" s="23" t="s">
        <v>19</v>
      </c>
      <c r="P81" s="20">
        <f t="shared" si="13"/>
        <v>0</v>
      </c>
      <c r="Q81" s="23" t="s">
        <v>19</v>
      </c>
      <c r="R81" s="24">
        <f t="shared" si="14"/>
        <v>0</v>
      </c>
      <c r="S81" s="24">
        <f t="shared" si="0"/>
        <v>0</v>
      </c>
    </row>
    <row r="82" spans="1:19" s="19" customFormat="1">
      <c r="A82" s="18" t="s">
        <v>68</v>
      </c>
      <c r="B82" s="19" t="s">
        <v>47</v>
      </c>
      <c r="C82" s="20"/>
      <c r="D82" s="21" t="s">
        <v>19</v>
      </c>
      <c r="E82" s="26"/>
      <c r="F82" s="22">
        <v>6</v>
      </c>
      <c r="G82" s="23" t="s">
        <v>33</v>
      </c>
      <c r="H82" s="22">
        <v>10</v>
      </c>
      <c r="I82" s="23" t="s">
        <v>19</v>
      </c>
      <c r="J82" s="24">
        <v>54000</v>
      </c>
      <c r="K82" s="21" t="s">
        <v>19</v>
      </c>
      <c r="L82" s="25">
        <v>0.125</v>
      </c>
      <c r="M82" s="25">
        <v>0.05</v>
      </c>
      <c r="N82" s="22"/>
      <c r="O82" s="23" t="s">
        <v>19</v>
      </c>
      <c r="P82" s="20">
        <f t="shared" si="13"/>
        <v>0</v>
      </c>
      <c r="Q82" s="23" t="s">
        <v>19</v>
      </c>
      <c r="R82" s="24">
        <f t="shared" si="14"/>
        <v>0</v>
      </c>
      <c r="S82" s="24">
        <f t="shared" si="0"/>
        <v>0</v>
      </c>
    </row>
    <row r="83" spans="1:19" s="19" customFormat="1">
      <c r="A83" s="18" t="s">
        <v>833</v>
      </c>
      <c r="B83" s="19" t="s">
        <v>47</v>
      </c>
      <c r="C83" s="20"/>
      <c r="D83" s="21" t="s">
        <v>19</v>
      </c>
      <c r="E83" s="26"/>
      <c r="F83" s="22">
        <v>6</v>
      </c>
      <c r="G83" s="23" t="s">
        <v>33</v>
      </c>
      <c r="H83" s="22">
        <v>10</v>
      </c>
      <c r="I83" s="23" t="s">
        <v>19</v>
      </c>
      <c r="J83" s="24">
        <v>56000</v>
      </c>
      <c r="K83" s="21" t="s">
        <v>19</v>
      </c>
      <c r="L83" s="25">
        <v>0.125</v>
      </c>
      <c r="M83" s="25">
        <v>0.05</v>
      </c>
      <c r="N83" s="22"/>
      <c r="O83" s="23" t="s">
        <v>19</v>
      </c>
      <c r="P83" s="20">
        <f t="shared" si="13"/>
        <v>0</v>
      </c>
      <c r="Q83" s="23" t="s">
        <v>19</v>
      </c>
      <c r="R83" s="24">
        <f t="shared" si="14"/>
        <v>0</v>
      </c>
      <c r="S83" s="24">
        <f t="shared" si="0"/>
        <v>0</v>
      </c>
    </row>
    <row r="84" spans="1:19" s="19" customFormat="1">
      <c r="A84" s="18" t="s">
        <v>69</v>
      </c>
      <c r="B84" s="19" t="s">
        <v>47</v>
      </c>
      <c r="C84" s="20"/>
      <c r="D84" s="21" t="s">
        <v>19</v>
      </c>
      <c r="E84" s="26"/>
      <c r="F84" s="22">
        <v>6</v>
      </c>
      <c r="G84" s="23" t="s">
        <v>33</v>
      </c>
      <c r="H84" s="22">
        <v>20</v>
      </c>
      <c r="I84" s="23" t="s">
        <v>19</v>
      </c>
      <c r="J84" s="24">
        <v>40000</v>
      </c>
      <c r="K84" s="21" t="s">
        <v>19</v>
      </c>
      <c r="L84" s="25">
        <v>0.125</v>
      </c>
      <c r="M84" s="25">
        <v>0.05</v>
      </c>
      <c r="N84" s="22"/>
      <c r="O84" s="23" t="s">
        <v>19</v>
      </c>
      <c r="P84" s="20">
        <f t="shared" si="13"/>
        <v>0</v>
      </c>
      <c r="Q84" s="23" t="s">
        <v>19</v>
      </c>
      <c r="R84" s="24">
        <f t="shared" si="14"/>
        <v>0</v>
      </c>
      <c r="S84" s="24">
        <f t="shared" si="0"/>
        <v>0</v>
      </c>
    </row>
    <row r="85" spans="1:19" s="19" customFormat="1">
      <c r="A85" s="18" t="s">
        <v>70</v>
      </c>
      <c r="B85" s="19" t="s">
        <v>47</v>
      </c>
      <c r="C85" s="20"/>
      <c r="D85" s="21" t="s">
        <v>19</v>
      </c>
      <c r="E85" s="26"/>
      <c r="F85" s="22">
        <v>6</v>
      </c>
      <c r="G85" s="23" t="s">
        <v>33</v>
      </c>
      <c r="H85" s="22">
        <v>10</v>
      </c>
      <c r="I85" s="23" t="s">
        <v>19</v>
      </c>
      <c r="J85" s="24">
        <v>66000</v>
      </c>
      <c r="K85" s="21" t="s">
        <v>19</v>
      </c>
      <c r="L85" s="25">
        <v>0.125</v>
      </c>
      <c r="M85" s="25">
        <v>0.1</v>
      </c>
      <c r="N85" s="22"/>
      <c r="O85" s="23" t="s">
        <v>19</v>
      </c>
      <c r="P85" s="20">
        <f t="shared" si="13"/>
        <v>0</v>
      </c>
      <c r="Q85" s="23" t="s">
        <v>19</v>
      </c>
      <c r="R85" s="24">
        <f t="shared" si="14"/>
        <v>0</v>
      </c>
      <c r="S85" s="24">
        <f t="shared" si="0"/>
        <v>0</v>
      </c>
    </row>
    <row r="86" spans="1:19" s="19" customFormat="1">
      <c r="A86" s="18" t="s">
        <v>71</v>
      </c>
      <c r="B86" s="19" t="s">
        <v>47</v>
      </c>
      <c r="C86" s="20"/>
      <c r="D86" s="21" t="s">
        <v>19</v>
      </c>
      <c r="E86" s="26"/>
      <c r="F86" s="22">
        <v>4</v>
      </c>
      <c r="G86" s="23" t="s">
        <v>33</v>
      </c>
      <c r="H86" s="22">
        <v>40</v>
      </c>
      <c r="I86" s="23" t="s">
        <v>19</v>
      </c>
      <c r="J86" s="24">
        <v>27000</v>
      </c>
      <c r="K86" s="21" t="s">
        <v>19</v>
      </c>
      <c r="L86" s="25">
        <v>0.125</v>
      </c>
      <c r="M86" s="25">
        <v>0.05</v>
      </c>
      <c r="N86" s="22"/>
      <c r="O86" s="23" t="s">
        <v>19</v>
      </c>
      <c r="P86" s="20">
        <f t="shared" si="13"/>
        <v>0</v>
      </c>
      <c r="Q86" s="23" t="s">
        <v>19</v>
      </c>
      <c r="R86" s="24">
        <f t="shared" si="14"/>
        <v>0</v>
      </c>
      <c r="S86" s="24">
        <f t="shared" si="0"/>
        <v>0</v>
      </c>
    </row>
    <row r="87" spans="1:19" s="19" customFormat="1">
      <c r="A87" s="18"/>
      <c r="C87" s="20"/>
      <c r="D87" s="21"/>
      <c r="E87" s="26"/>
      <c r="F87" s="22"/>
      <c r="G87" s="23"/>
      <c r="H87" s="22"/>
      <c r="I87" s="23"/>
      <c r="J87" s="24"/>
      <c r="K87" s="21"/>
      <c r="L87" s="25"/>
      <c r="M87" s="25"/>
      <c r="N87" s="22"/>
      <c r="O87" s="23"/>
      <c r="P87" s="20"/>
      <c r="Q87" s="23"/>
      <c r="R87" s="24"/>
      <c r="S87" s="24"/>
    </row>
    <row r="88" spans="1:19" s="19" customFormat="1" ht="15.75">
      <c r="A88" s="44" t="s">
        <v>72</v>
      </c>
      <c r="C88" s="20"/>
      <c r="D88" s="21"/>
      <c r="E88" s="26"/>
      <c r="F88" s="22"/>
      <c r="G88" s="23"/>
      <c r="H88" s="22"/>
      <c r="I88" s="23"/>
      <c r="J88" s="24"/>
      <c r="K88" s="21"/>
      <c r="L88" s="25"/>
      <c r="M88" s="25"/>
      <c r="N88" s="22"/>
      <c r="O88" s="23"/>
      <c r="P88" s="20"/>
      <c r="Q88" s="23"/>
      <c r="R88" s="24"/>
      <c r="S88" s="24"/>
    </row>
    <row r="89" spans="1:19" s="19" customFormat="1">
      <c r="A89" s="18" t="s">
        <v>865</v>
      </c>
      <c r="B89" s="19" t="s">
        <v>18</v>
      </c>
      <c r="C89" s="20"/>
      <c r="D89" s="21" t="s">
        <v>19</v>
      </c>
      <c r="E89" s="26">
        <v>1</v>
      </c>
      <c r="F89" s="22">
        <v>1</v>
      </c>
      <c r="G89" s="23" t="s">
        <v>20</v>
      </c>
      <c r="H89" s="22">
        <v>20</v>
      </c>
      <c r="I89" s="23" t="s">
        <v>19</v>
      </c>
      <c r="J89" s="24">
        <v>160000</v>
      </c>
      <c r="K89" s="21" t="s">
        <v>19</v>
      </c>
      <c r="L89" s="25">
        <v>0.125</v>
      </c>
      <c r="M89" s="25">
        <v>0.05</v>
      </c>
      <c r="N89" s="22"/>
      <c r="O89" s="23" t="s">
        <v>19</v>
      </c>
      <c r="P89" s="20">
        <f t="shared" ref="P89:P90" si="39">(C89+(E89*F89*H89))-N89</f>
        <v>20</v>
      </c>
      <c r="Q89" s="23" t="s">
        <v>19</v>
      </c>
      <c r="R89" s="24">
        <f t="shared" ref="R89:R90" si="40">P89*(J89-(J89*L89)-((J89-(J89*L89))*M89))</f>
        <v>2660000</v>
      </c>
      <c r="S89" s="24">
        <f t="shared" ref="S89:S90" si="41">R89/1.11</f>
        <v>2396396.3963963962</v>
      </c>
    </row>
    <row r="90" spans="1:19" s="19" customFormat="1">
      <c r="A90" s="18" t="s">
        <v>866</v>
      </c>
      <c r="B90" s="19" t="s">
        <v>18</v>
      </c>
      <c r="C90" s="20"/>
      <c r="D90" s="21" t="s">
        <v>19</v>
      </c>
      <c r="E90" s="26">
        <v>1</v>
      </c>
      <c r="F90" s="22">
        <v>1</v>
      </c>
      <c r="G90" s="23" t="s">
        <v>20</v>
      </c>
      <c r="H90" s="22">
        <v>16</v>
      </c>
      <c r="I90" s="23" t="s">
        <v>19</v>
      </c>
      <c r="J90" s="24">
        <v>187000</v>
      </c>
      <c r="K90" s="21" t="s">
        <v>19</v>
      </c>
      <c r="L90" s="25">
        <v>0.125</v>
      </c>
      <c r="M90" s="25">
        <v>0.05</v>
      </c>
      <c r="N90" s="22"/>
      <c r="O90" s="23" t="s">
        <v>19</v>
      </c>
      <c r="P90" s="20">
        <f t="shared" si="39"/>
        <v>16</v>
      </c>
      <c r="Q90" s="23" t="s">
        <v>19</v>
      </c>
      <c r="R90" s="24">
        <f t="shared" si="40"/>
        <v>2487100</v>
      </c>
      <c r="S90" s="24">
        <f t="shared" si="41"/>
        <v>2240630.6306306305</v>
      </c>
    </row>
    <row r="91" spans="1:19" s="19" customFormat="1">
      <c r="A91" s="18" t="s">
        <v>73</v>
      </c>
      <c r="B91" s="19" t="s">
        <v>18</v>
      </c>
      <c r="C91" s="20"/>
      <c r="D91" s="21" t="s">
        <v>19</v>
      </c>
      <c r="E91" s="26"/>
      <c r="F91" s="22">
        <v>1</v>
      </c>
      <c r="G91" s="23" t="s">
        <v>20</v>
      </c>
      <c r="H91" s="22">
        <v>6</v>
      </c>
      <c r="I91" s="23" t="s">
        <v>19</v>
      </c>
      <c r="J91" s="24">
        <v>390000</v>
      </c>
      <c r="K91" s="21" t="s">
        <v>19</v>
      </c>
      <c r="L91" s="25">
        <v>0.125</v>
      </c>
      <c r="M91" s="25">
        <v>0.05</v>
      </c>
      <c r="N91" s="22"/>
      <c r="O91" s="23" t="s">
        <v>19</v>
      </c>
      <c r="P91" s="20">
        <f>(C91+(E91*F91*H91))-N91</f>
        <v>0</v>
      </c>
      <c r="Q91" s="23" t="s">
        <v>19</v>
      </c>
      <c r="R91" s="24">
        <f>P91*(J91-(J91*L91)-((J91-(J91*L91))*M91))</f>
        <v>0</v>
      </c>
      <c r="S91" s="24">
        <f t="shared" si="0"/>
        <v>0</v>
      </c>
    </row>
    <row r="92" spans="1:19" s="19" customFormat="1">
      <c r="A92" s="18" t="s">
        <v>74</v>
      </c>
      <c r="B92" s="19" t="s">
        <v>18</v>
      </c>
      <c r="C92" s="20"/>
      <c r="D92" s="21" t="s">
        <v>19</v>
      </c>
      <c r="E92" s="26"/>
      <c r="F92" s="22">
        <v>1</v>
      </c>
      <c r="G92" s="23" t="s">
        <v>20</v>
      </c>
      <c r="H92" s="22">
        <v>6</v>
      </c>
      <c r="I92" s="23" t="s">
        <v>19</v>
      </c>
      <c r="J92" s="24">
        <v>500000</v>
      </c>
      <c r="K92" s="21" t="s">
        <v>19</v>
      </c>
      <c r="L92" s="25">
        <v>0.125</v>
      </c>
      <c r="M92" s="25">
        <v>0.05</v>
      </c>
      <c r="N92" s="22"/>
      <c r="O92" s="23" t="s">
        <v>19</v>
      </c>
      <c r="P92" s="20">
        <f>(C92+(E92*F92*H92))-N92</f>
        <v>0</v>
      </c>
      <c r="Q92" s="23" t="s">
        <v>19</v>
      </c>
      <c r="R92" s="24">
        <f>P92*(J92-(J92*L92)-((J92-(J92*L92))*M92))</f>
        <v>0</v>
      </c>
      <c r="S92" s="24">
        <f t="shared" si="0"/>
        <v>0</v>
      </c>
    </row>
    <row r="93" spans="1:19" s="19" customFormat="1">
      <c r="A93" s="18"/>
      <c r="C93" s="20"/>
      <c r="D93" s="21"/>
      <c r="E93" s="26"/>
      <c r="F93" s="22"/>
      <c r="G93" s="23"/>
      <c r="H93" s="22"/>
      <c r="I93" s="23"/>
      <c r="J93" s="24"/>
      <c r="K93" s="21"/>
      <c r="L93" s="25"/>
      <c r="M93" s="25"/>
      <c r="N93" s="22"/>
      <c r="O93" s="23"/>
      <c r="P93" s="20"/>
      <c r="Q93" s="23"/>
      <c r="R93" s="24"/>
      <c r="S93" s="24"/>
    </row>
    <row r="94" spans="1:19" s="19" customFormat="1" ht="15.75">
      <c r="A94" s="44" t="s">
        <v>75</v>
      </c>
      <c r="C94" s="20"/>
      <c r="D94" s="21"/>
      <c r="E94" s="26"/>
      <c r="F94" s="22"/>
      <c r="G94" s="23"/>
      <c r="H94" s="22"/>
      <c r="I94" s="23"/>
      <c r="J94" s="24"/>
      <c r="K94" s="21"/>
      <c r="L94" s="25"/>
      <c r="M94" s="25"/>
      <c r="N94" s="22"/>
      <c r="O94" s="23"/>
      <c r="P94" s="20"/>
      <c r="Q94" s="23"/>
      <c r="R94" s="24"/>
      <c r="S94" s="24"/>
    </row>
    <row r="95" spans="1:19" s="19" customFormat="1">
      <c r="A95" s="88" t="s">
        <v>76</v>
      </c>
      <c r="C95" s="20"/>
      <c r="D95" s="21"/>
      <c r="E95" s="26"/>
      <c r="F95" s="22"/>
      <c r="G95" s="23"/>
      <c r="H95" s="22"/>
      <c r="I95" s="23"/>
      <c r="J95" s="24"/>
      <c r="K95" s="21"/>
      <c r="L95" s="25"/>
      <c r="M95" s="25"/>
      <c r="N95" s="22"/>
      <c r="O95" s="23"/>
      <c r="P95" s="20"/>
      <c r="Q95" s="23"/>
      <c r="R95" s="24"/>
      <c r="S95" s="24"/>
    </row>
    <row r="96" spans="1:19" s="19" customFormat="1">
      <c r="A96" s="57" t="s">
        <v>77</v>
      </c>
      <c r="B96" s="19" t="s">
        <v>18</v>
      </c>
      <c r="C96" s="20"/>
      <c r="D96" s="21" t="s">
        <v>78</v>
      </c>
      <c r="E96" s="26"/>
      <c r="F96" s="22">
        <v>1</v>
      </c>
      <c r="G96" s="23" t="s">
        <v>20</v>
      </c>
      <c r="H96" s="22">
        <v>48</v>
      </c>
      <c r="I96" s="23" t="s">
        <v>78</v>
      </c>
      <c r="J96" s="24">
        <v>14500</v>
      </c>
      <c r="K96" s="21" t="s">
        <v>78</v>
      </c>
      <c r="L96" s="25">
        <v>0.125</v>
      </c>
      <c r="M96" s="25">
        <v>0.05</v>
      </c>
      <c r="N96" s="22"/>
      <c r="O96" s="23" t="s">
        <v>78</v>
      </c>
      <c r="P96" s="20">
        <f t="shared" ref="P96:P110" si="42">(C96+(E96*F96*H96))-N96</f>
        <v>0</v>
      </c>
      <c r="Q96" s="23" t="s">
        <v>78</v>
      </c>
      <c r="R96" s="24">
        <f t="shared" ref="R96:R106" si="43">P96*(J96-(J96*L96)-((J96-(J96*L96))*M96))</f>
        <v>0</v>
      </c>
      <c r="S96" s="24">
        <f t="shared" si="0"/>
        <v>0</v>
      </c>
    </row>
    <row r="97" spans="1:19" s="19" customFormat="1">
      <c r="A97" s="57" t="s">
        <v>826</v>
      </c>
      <c r="B97" s="19" t="s">
        <v>18</v>
      </c>
      <c r="C97" s="20"/>
      <c r="D97" s="21" t="s">
        <v>78</v>
      </c>
      <c r="E97" s="26"/>
      <c r="F97" s="22">
        <v>1</v>
      </c>
      <c r="G97" s="23" t="s">
        <v>20</v>
      </c>
      <c r="H97" s="22">
        <v>96</v>
      </c>
      <c r="I97" s="23" t="s">
        <v>78</v>
      </c>
      <c r="J97" s="24">
        <v>15500</v>
      </c>
      <c r="K97" s="21" t="s">
        <v>78</v>
      </c>
      <c r="L97" s="25">
        <v>0.125</v>
      </c>
      <c r="M97" s="25">
        <v>0.05</v>
      </c>
      <c r="N97" s="22"/>
      <c r="O97" s="23" t="s">
        <v>78</v>
      </c>
      <c r="P97" s="20">
        <f t="shared" si="42"/>
        <v>0</v>
      </c>
      <c r="Q97" s="23" t="s">
        <v>78</v>
      </c>
      <c r="R97" s="24">
        <f t="shared" si="43"/>
        <v>0</v>
      </c>
      <c r="S97" s="24">
        <f t="shared" si="0"/>
        <v>0</v>
      </c>
    </row>
    <row r="98" spans="1:19" s="19" customFormat="1">
      <c r="A98" s="57" t="s">
        <v>79</v>
      </c>
      <c r="B98" s="19" t="s">
        <v>18</v>
      </c>
      <c r="C98" s="20"/>
      <c r="D98" s="21" t="s">
        <v>78</v>
      </c>
      <c r="E98" s="26"/>
      <c r="F98" s="22">
        <v>1</v>
      </c>
      <c r="G98" s="23" t="s">
        <v>20</v>
      </c>
      <c r="H98" s="22">
        <v>96</v>
      </c>
      <c r="I98" s="23" t="s">
        <v>78</v>
      </c>
      <c r="J98" s="24">
        <v>12000</v>
      </c>
      <c r="K98" s="21" t="s">
        <v>78</v>
      </c>
      <c r="L98" s="25">
        <v>0.125</v>
      </c>
      <c r="M98" s="25">
        <v>0.05</v>
      </c>
      <c r="N98" s="22"/>
      <c r="O98" s="23" t="s">
        <v>78</v>
      </c>
      <c r="P98" s="20">
        <f t="shared" si="42"/>
        <v>0</v>
      </c>
      <c r="Q98" s="23" t="s">
        <v>78</v>
      </c>
      <c r="R98" s="24">
        <f t="shared" si="43"/>
        <v>0</v>
      </c>
      <c r="S98" s="24">
        <f t="shared" si="0"/>
        <v>0</v>
      </c>
    </row>
    <row r="99" spans="1:19" s="19" customFormat="1">
      <c r="A99" s="57" t="s">
        <v>80</v>
      </c>
      <c r="B99" s="19" t="s">
        <v>18</v>
      </c>
      <c r="C99" s="20"/>
      <c r="D99" s="21" t="s">
        <v>78</v>
      </c>
      <c r="E99" s="26"/>
      <c r="F99" s="22">
        <v>1</v>
      </c>
      <c r="G99" s="23" t="s">
        <v>20</v>
      </c>
      <c r="H99" s="22">
        <v>48</v>
      </c>
      <c r="I99" s="23" t="s">
        <v>78</v>
      </c>
      <c r="J99" s="24">
        <v>19500</v>
      </c>
      <c r="K99" s="21" t="s">
        <v>78</v>
      </c>
      <c r="L99" s="25">
        <v>0.125</v>
      </c>
      <c r="M99" s="25">
        <v>0.05</v>
      </c>
      <c r="N99" s="22"/>
      <c r="O99" s="23" t="s">
        <v>78</v>
      </c>
      <c r="P99" s="20">
        <f t="shared" si="42"/>
        <v>0</v>
      </c>
      <c r="Q99" s="23" t="s">
        <v>78</v>
      </c>
      <c r="R99" s="24">
        <f t="shared" si="43"/>
        <v>0</v>
      </c>
      <c r="S99" s="24">
        <f t="shared" si="0"/>
        <v>0</v>
      </c>
    </row>
    <row r="100" spans="1:19" s="19" customFormat="1">
      <c r="A100" s="57" t="s">
        <v>81</v>
      </c>
      <c r="B100" s="19" t="s">
        <v>18</v>
      </c>
      <c r="C100" s="20"/>
      <c r="D100" s="21" t="s">
        <v>78</v>
      </c>
      <c r="E100" s="26"/>
      <c r="F100" s="22">
        <v>1</v>
      </c>
      <c r="G100" s="23" t="s">
        <v>20</v>
      </c>
      <c r="H100" s="22">
        <v>48</v>
      </c>
      <c r="I100" s="23" t="s">
        <v>78</v>
      </c>
      <c r="J100" s="24">
        <v>14800</v>
      </c>
      <c r="K100" s="21" t="s">
        <v>78</v>
      </c>
      <c r="L100" s="25">
        <v>0.125</v>
      </c>
      <c r="M100" s="25">
        <v>0.05</v>
      </c>
      <c r="N100" s="22"/>
      <c r="O100" s="23" t="s">
        <v>78</v>
      </c>
      <c r="P100" s="20">
        <f t="shared" si="42"/>
        <v>0</v>
      </c>
      <c r="Q100" s="23" t="s">
        <v>78</v>
      </c>
      <c r="R100" s="24">
        <f t="shared" si="43"/>
        <v>0</v>
      </c>
      <c r="S100" s="24">
        <f t="shared" si="0"/>
        <v>0</v>
      </c>
    </row>
    <row r="101" spans="1:19" s="19" customFormat="1">
      <c r="A101" s="58" t="s">
        <v>82</v>
      </c>
      <c r="B101" s="19" t="s">
        <v>18</v>
      </c>
      <c r="C101" s="20"/>
      <c r="D101" s="21" t="s">
        <v>78</v>
      </c>
      <c r="E101" s="26"/>
      <c r="F101" s="22">
        <v>1</v>
      </c>
      <c r="G101" s="23" t="s">
        <v>20</v>
      </c>
      <c r="H101" s="22">
        <v>24</v>
      </c>
      <c r="I101" s="23" t="s">
        <v>78</v>
      </c>
      <c r="J101" s="24">
        <v>25200</v>
      </c>
      <c r="K101" s="21" t="s">
        <v>78</v>
      </c>
      <c r="L101" s="25">
        <v>0.125</v>
      </c>
      <c r="M101" s="25">
        <v>0.05</v>
      </c>
      <c r="N101" s="22"/>
      <c r="O101" s="23" t="s">
        <v>78</v>
      </c>
      <c r="P101" s="20">
        <f t="shared" si="42"/>
        <v>0</v>
      </c>
      <c r="Q101" s="23" t="s">
        <v>78</v>
      </c>
      <c r="R101" s="24">
        <f t="shared" si="43"/>
        <v>0</v>
      </c>
      <c r="S101" s="24">
        <f t="shared" si="0"/>
        <v>0</v>
      </c>
    </row>
    <row r="102" spans="1:19" s="19" customFormat="1">
      <c r="A102" s="58" t="s">
        <v>83</v>
      </c>
      <c r="B102" s="19" t="s">
        <v>18</v>
      </c>
      <c r="C102" s="20"/>
      <c r="D102" s="21" t="s">
        <v>78</v>
      </c>
      <c r="E102" s="26"/>
      <c r="F102" s="22">
        <v>1</v>
      </c>
      <c r="G102" s="23" t="s">
        <v>20</v>
      </c>
      <c r="H102" s="22">
        <v>24</v>
      </c>
      <c r="I102" s="23" t="s">
        <v>78</v>
      </c>
      <c r="J102" s="24">
        <v>20200</v>
      </c>
      <c r="K102" s="21" t="s">
        <v>78</v>
      </c>
      <c r="L102" s="25">
        <v>0.125</v>
      </c>
      <c r="M102" s="25">
        <v>0.05</v>
      </c>
      <c r="N102" s="22"/>
      <c r="O102" s="23" t="s">
        <v>78</v>
      </c>
      <c r="P102" s="20">
        <f t="shared" si="42"/>
        <v>0</v>
      </c>
      <c r="Q102" s="23" t="s">
        <v>78</v>
      </c>
      <c r="R102" s="24">
        <f t="shared" si="43"/>
        <v>0</v>
      </c>
      <c r="S102" s="24">
        <f t="shared" si="0"/>
        <v>0</v>
      </c>
    </row>
    <row r="103" spans="1:19" s="19" customFormat="1">
      <c r="A103" s="57" t="s">
        <v>827</v>
      </c>
      <c r="B103" s="19" t="s">
        <v>18</v>
      </c>
      <c r="C103" s="20"/>
      <c r="D103" s="21" t="s">
        <v>78</v>
      </c>
      <c r="E103" s="26"/>
      <c r="F103" s="22">
        <v>1</v>
      </c>
      <c r="G103" s="23" t="s">
        <v>20</v>
      </c>
      <c r="H103" s="22">
        <v>96</v>
      </c>
      <c r="I103" s="23" t="s">
        <v>78</v>
      </c>
      <c r="J103" s="24">
        <v>16500</v>
      </c>
      <c r="K103" s="21" t="s">
        <v>78</v>
      </c>
      <c r="L103" s="25">
        <v>0.125</v>
      </c>
      <c r="M103" s="25">
        <v>0.05</v>
      </c>
      <c r="N103" s="22"/>
      <c r="O103" s="23" t="s">
        <v>78</v>
      </c>
      <c r="P103" s="20">
        <f t="shared" si="42"/>
        <v>0</v>
      </c>
      <c r="Q103" s="23" t="s">
        <v>78</v>
      </c>
      <c r="R103" s="24">
        <f t="shared" si="43"/>
        <v>0</v>
      </c>
      <c r="S103" s="24">
        <f t="shared" ref="S103:S184" si="44">R103/1.11</f>
        <v>0</v>
      </c>
    </row>
    <row r="104" spans="1:19" s="19" customFormat="1">
      <c r="A104" s="18" t="s">
        <v>84</v>
      </c>
      <c r="B104" s="19" t="s">
        <v>18</v>
      </c>
      <c r="C104" s="20"/>
      <c r="D104" s="21" t="s">
        <v>85</v>
      </c>
      <c r="E104" s="26"/>
      <c r="F104" s="22">
        <v>1</v>
      </c>
      <c r="G104" s="23" t="s">
        <v>20</v>
      </c>
      <c r="H104" s="22">
        <v>60</v>
      </c>
      <c r="I104" s="23" t="s">
        <v>85</v>
      </c>
      <c r="J104" s="24">
        <v>27600</v>
      </c>
      <c r="K104" s="21" t="s">
        <v>85</v>
      </c>
      <c r="L104" s="25">
        <v>0.125</v>
      </c>
      <c r="M104" s="25">
        <v>0.05</v>
      </c>
      <c r="N104" s="22"/>
      <c r="O104" s="23" t="s">
        <v>85</v>
      </c>
      <c r="P104" s="20">
        <f t="shared" si="42"/>
        <v>0</v>
      </c>
      <c r="Q104" s="23" t="s">
        <v>85</v>
      </c>
      <c r="R104" s="24">
        <f t="shared" si="43"/>
        <v>0</v>
      </c>
      <c r="S104" s="24">
        <f t="shared" si="44"/>
        <v>0</v>
      </c>
    </row>
    <row r="105" spans="1:19" s="19" customFormat="1">
      <c r="A105" s="18" t="s">
        <v>86</v>
      </c>
      <c r="B105" s="19" t="s">
        <v>18</v>
      </c>
      <c r="C105" s="20"/>
      <c r="D105" s="21" t="s">
        <v>85</v>
      </c>
      <c r="E105" s="26"/>
      <c r="F105" s="22">
        <v>1</v>
      </c>
      <c r="G105" s="23" t="s">
        <v>20</v>
      </c>
      <c r="H105" s="22">
        <v>50</v>
      </c>
      <c r="I105" s="23" t="s">
        <v>85</v>
      </c>
      <c r="J105" s="24">
        <v>30900</v>
      </c>
      <c r="K105" s="21" t="s">
        <v>85</v>
      </c>
      <c r="L105" s="25">
        <v>0.125</v>
      </c>
      <c r="M105" s="25">
        <v>0.05</v>
      </c>
      <c r="N105" s="22"/>
      <c r="O105" s="23" t="s">
        <v>85</v>
      </c>
      <c r="P105" s="20">
        <f t="shared" si="42"/>
        <v>0</v>
      </c>
      <c r="Q105" s="23" t="s">
        <v>85</v>
      </c>
      <c r="R105" s="24">
        <f t="shared" si="43"/>
        <v>0</v>
      </c>
      <c r="S105" s="24">
        <f t="shared" si="44"/>
        <v>0</v>
      </c>
    </row>
    <row r="106" spans="1:19" s="19" customFormat="1">
      <c r="A106" s="18" t="s">
        <v>87</v>
      </c>
      <c r="B106" s="19" t="s">
        <v>18</v>
      </c>
      <c r="C106" s="20"/>
      <c r="D106" s="21" t="s">
        <v>85</v>
      </c>
      <c r="E106" s="26"/>
      <c r="F106" s="22">
        <v>1</v>
      </c>
      <c r="G106" s="23" t="s">
        <v>20</v>
      </c>
      <c r="H106" s="22">
        <v>30</v>
      </c>
      <c r="I106" s="23" t="s">
        <v>85</v>
      </c>
      <c r="J106" s="24">
        <v>48600</v>
      </c>
      <c r="K106" s="21" t="s">
        <v>85</v>
      </c>
      <c r="L106" s="25">
        <v>0.125</v>
      </c>
      <c r="M106" s="25">
        <v>0.05</v>
      </c>
      <c r="N106" s="22"/>
      <c r="O106" s="23" t="s">
        <v>85</v>
      </c>
      <c r="P106" s="20">
        <f t="shared" si="42"/>
        <v>0</v>
      </c>
      <c r="Q106" s="23" t="s">
        <v>85</v>
      </c>
      <c r="R106" s="24">
        <f t="shared" si="43"/>
        <v>0</v>
      </c>
      <c r="S106" s="24">
        <f t="shared" si="44"/>
        <v>0</v>
      </c>
    </row>
    <row r="107" spans="1:19" s="19" customFormat="1">
      <c r="A107" s="18" t="s">
        <v>88</v>
      </c>
      <c r="B107" s="19" t="s">
        <v>18</v>
      </c>
      <c r="C107" s="20"/>
      <c r="D107" s="21" t="s">
        <v>85</v>
      </c>
      <c r="E107" s="26">
        <v>3</v>
      </c>
      <c r="F107" s="22">
        <v>1</v>
      </c>
      <c r="G107" s="23" t="s">
        <v>20</v>
      </c>
      <c r="H107" s="22">
        <v>20</v>
      </c>
      <c r="I107" s="23" t="s">
        <v>85</v>
      </c>
      <c r="J107" s="24">
        <v>67800</v>
      </c>
      <c r="K107" s="21" t="s">
        <v>85</v>
      </c>
      <c r="L107" s="25">
        <v>0.125</v>
      </c>
      <c r="M107" s="25">
        <v>0.05</v>
      </c>
      <c r="N107" s="22"/>
      <c r="O107" s="23" t="s">
        <v>85</v>
      </c>
      <c r="P107" s="20">
        <f t="shared" si="42"/>
        <v>60</v>
      </c>
      <c r="Q107" s="23" t="s">
        <v>85</v>
      </c>
      <c r="R107" s="24">
        <f t="shared" ref="R107:R111" si="45">P107*(J107-(J107*L107)-((J107-(J107*L107))*M107))</f>
        <v>3381525</v>
      </c>
      <c r="S107" s="24">
        <f t="shared" ref="S107:S111" si="46">R107/1.11</f>
        <v>3046418.9189189188</v>
      </c>
    </row>
    <row r="108" spans="1:19" s="19" customFormat="1">
      <c r="A108" s="18" t="s">
        <v>89</v>
      </c>
      <c r="B108" s="19" t="s">
        <v>18</v>
      </c>
      <c r="C108" s="20"/>
      <c r="D108" s="21" t="s">
        <v>85</v>
      </c>
      <c r="E108" s="26"/>
      <c r="F108" s="22">
        <v>1</v>
      </c>
      <c r="G108" s="23" t="s">
        <v>20</v>
      </c>
      <c r="H108" s="22">
        <v>10</v>
      </c>
      <c r="I108" s="23" t="s">
        <v>85</v>
      </c>
      <c r="J108" s="24">
        <v>115800</v>
      </c>
      <c r="K108" s="21" t="s">
        <v>85</v>
      </c>
      <c r="L108" s="25">
        <v>0.125</v>
      </c>
      <c r="M108" s="25">
        <v>0.05</v>
      </c>
      <c r="N108" s="22"/>
      <c r="O108" s="23" t="s">
        <v>85</v>
      </c>
      <c r="P108" s="20">
        <f t="shared" si="42"/>
        <v>0</v>
      </c>
      <c r="Q108" s="23" t="s">
        <v>85</v>
      </c>
      <c r="R108" s="24">
        <f t="shared" si="45"/>
        <v>0</v>
      </c>
      <c r="S108" s="24">
        <f t="shared" si="46"/>
        <v>0</v>
      </c>
    </row>
    <row r="109" spans="1:19" s="19" customFormat="1">
      <c r="A109" s="18" t="s">
        <v>90</v>
      </c>
      <c r="B109" s="19" t="s">
        <v>18</v>
      </c>
      <c r="C109" s="20"/>
      <c r="D109" s="21" t="s">
        <v>85</v>
      </c>
      <c r="E109" s="26"/>
      <c r="F109" s="22">
        <v>1</v>
      </c>
      <c r="G109" s="23" t="s">
        <v>20</v>
      </c>
      <c r="H109" s="22">
        <v>5</v>
      </c>
      <c r="I109" s="23" t="s">
        <v>85</v>
      </c>
      <c r="J109" s="24">
        <v>177000</v>
      </c>
      <c r="K109" s="21" t="s">
        <v>85</v>
      </c>
      <c r="L109" s="25">
        <v>0.125</v>
      </c>
      <c r="M109" s="25">
        <v>0.05</v>
      </c>
      <c r="N109" s="22"/>
      <c r="O109" s="23" t="s">
        <v>85</v>
      </c>
      <c r="P109" s="20">
        <f t="shared" si="42"/>
        <v>0</v>
      </c>
      <c r="Q109" s="23" t="s">
        <v>85</v>
      </c>
      <c r="R109" s="24">
        <f t="shared" si="45"/>
        <v>0</v>
      </c>
      <c r="S109" s="24">
        <f t="shared" si="46"/>
        <v>0</v>
      </c>
    </row>
    <row r="110" spans="1:19" s="19" customFormat="1">
      <c r="A110" s="18" t="s">
        <v>91</v>
      </c>
      <c r="B110" s="19" t="s">
        <v>18</v>
      </c>
      <c r="C110" s="20"/>
      <c r="D110" s="21" t="s">
        <v>41</v>
      </c>
      <c r="E110" s="26"/>
      <c r="F110" s="22">
        <v>3</v>
      </c>
      <c r="G110" s="23" t="s">
        <v>85</v>
      </c>
      <c r="H110" s="22">
        <v>12</v>
      </c>
      <c r="I110" s="23" t="s">
        <v>41</v>
      </c>
      <c r="J110" s="24">
        <f>507600/12</f>
        <v>42300</v>
      </c>
      <c r="K110" s="21" t="s">
        <v>41</v>
      </c>
      <c r="L110" s="25">
        <v>0.125</v>
      </c>
      <c r="M110" s="25">
        <v>0.05</v>
      </c>
      <c r="N110" s="22"/>
      <c r="O110" s="23" t="s">
        <v>41</v>
      </c>
      <c r="P110" s="20">
        <f t="shared" si="42"/>
        <v>0</v>
      </c>
      <c r="Q110" s="23" t="s">
        <v>41</v>
      </c>
      <c r="R110" s="24">
        <f t="shared" si="45"/>
        <v>0</v>
      </c>
      <c r="S110" s="24">
        <f t="shared" si="46"/>
        <v>0</v>
      </c>
    </row>
    <row r="111" spans="1:19" s="19" customFormat="1">
      <c r="A111" s="91" t="s">
        <v>859</v>
      </c>
      <c r="B111" s="19" t="s">
        <v>18</v>
      </c>
      <c r="C111" s="20"/>
      <c r="D111" s="21" t="s">
        <v>41</v>
      </c>
      <c r="E111" s="26">
        <v>1</v>
      </c>
      <c r="F111" s="22">
        <v>1</v>
      </c>
      <c r="G111" s="23" t="s">
        <v>20</v>
      </c>
      <c r="H111" s="22">
        <v>20</v>
      </c>
      <c r="I111" s="23" t="s">
        <v>41</v>
      </c>
      <c r="J111" s="24">
        <v>108900</v>
      </c>
      <c r="K111" s="21" t="s">
        <v>41</v>
      </c>
      <c r="L111" s="25">
        <v>0.125</v>
      </c>
      <c r="M111" s="25">
        <v>0.05</v>
      </c>
      <c r="N111" s="22"/>
      <c r="O111" s="23" t="s">
        <v>41</v>
      </c>
      <c r="P111" s="20">
        <f t="shared" ref="P111" si="47">(C111+(E111*F111*H111))-N111</f>
        <v>20</v>
      </c>
      <c r="Q111" s="23" t="s">
        <v>41</v>
      </c>
      <c r="R111" s="24">
        <f t="shared" si="45"/>
        <v>1810462.5</v>
      </c>
      <c r="S111" s="24">
        <f t="shared" si="46"/>
        <v>1631047.297297297</v>
      </c>
    </row>
    <row r="112" spans="1:19" s="19" customFormat="1">
      <c r="A112" s="18"/>
      <c r="C112" s="20"/>
      <c r="D112" s="21"/>
      <c r="E112" s="26"/>
      <c r="F112" s="22"/>
      <c r="G112" s="23"/>
      <c r="H112" s="22"/>
      <c r="I112" s="23"/>
      <c r="J112" s="24"/>
      <c r="K112" s="21"/>
      <c r="L112" s="25"/>
      <c r="M112" s="25"/>
      <c r="N112" s="22"/>
      <c r="O112" s="23"/>
      <c r="P112" s="20"/>
      <c r="Q112" s="23"/>
      <c r="R112" s="24"/>
      <c r="S112" s="24"/>
    </row>
    <row r="113" spans="1:19" s="19" customFormat="1">
      <c r="A113" s="18" t="s">
        <v>92</v>
      </c>
      <c r="B113" s="19" t="s">
        <v>25</v>
      </c>
      <c r="C113" s="20"/>
      <c r="D113" s="21" t="s">
        <v>85</v>
      </c>
      <c r="E113" s="26"/>
      <c r="F113" s="22">
        <v>1</v>
      </c>
      <c r="G113" s="23" t="s">
        <v>20</v>
      </c>
      <c r="H113" s="22">
        <v>50</v>
      </c>
      <c r="I113" s="23" t="s">
        <v>85</v>
      </c>
      <c r="J113" s="24">
        <f>1440000/50</f>
        <v>28800</v>
      </c>
      <c r="K113" s="21" t="s">
        <v>85</v>
      </c>
      <c r="L113" s="25"/>
      <c r="M113" s="25">
        <v>0.17</v>
      </c>
      <c r="N113" s="22"/>
      <c r="O113" s="23" t="s">
        <v>85</v>
      </c>
      <c r="P113" s="20">
        <f t="shared" ref="P113:P119" si="48">(C113+(E113*F113*H113))-N113</f>
        <v>0</v>
      </c>
      <c r="Q113" s="23" t="s">
        <v>85</v>
      </c>
      <c r="R113" s="24">
        <f t="shared" ref="R113:R119" si="49">P113*(J113-(J113*L113)-((J113-(J113*L113))*M113))</f>
        <v>0</v>
      </c>
      <c r="S113" s="24">
        <f t="shared" si="44"/>
        <v>0</v>
      </c>
    </row>
    <row r="114" spans="1:19" s="19" customFormat="1">
      <c r="A114" s="18" t="s">
        <v>93</v>
      </c>
      <c r="B114" s="19" t="s">
        <v>25</v>
      </c>
      <c r="C114" s="20"/>
      <c r="D114" s="21" t="s">
        <v>85</v>
      </c>
      <c r="E114" s="26"/>
      <c r="F114" s="22">
        <v>1</v>
      </c>
      <c r="G114" s="23" t="s">
        <v>20</v>
      </c>
      <c r="H114" s="22">
        <v>50</v>
      </c>
      <c r="I114" s="23" t="s">
        <v>85</v>
      </c>
      <c r="J114" s="24">
        <f>1590000/50</f>
        <v>31800</v>
      </c>
      <c r="K114" s="21" t="s">
        <v>85</v>
      </c>
      <c r="L114" s="25"/>
      <c r="M114" s="25">
        <v>0.17</v>
      </c>
      <c r="N114" s="22"/>
      <c r="O114" s="23" t="s">
        <v>85</v>
      </c>
      <c r="P114" s="20">
        <f t="shared" si="48"/>
        <v>0</v>
      </c>
      <c r="Q114" s="23" t="s">
        <v>85</v>
      </c>
      <c r="R114" s="24">
        <f t="shared" si="49"/>
        <v>0</v>
      </c>
      <c r="S114" s="24">
        <f t="shared" si="44"/>
        <v>0</v>
      </c>
    </row>
    <row r="115" spans="1:19" s="19" customFormat="1">
      <c r="A115" s="18" t="s">
        <v>94</v>
      </c>
      <c r="B115" s="19" t="s">
        <v>25</v>
      </c>
      <c r="C115" s="20"/>
      <c r="D115" s="21" t="s">
        <v>85</v>
      </c>
      <c r="E115" s="26">
        <v>1</v>
      </c>
      <c r="F115" s="22">
        <v>1</v>
      </c>
      <c r="G115" s="23" t="s">
        <v>20</v>
      </c>
      <c r="H115" s="22">
        <v>30</v>
      </c>
      <c r="I115" s="23" t="s">
        <v>85</v>
      </c>
      <c r="J115" s="24">
        <f>1476000/30</f>
        <v>49200</v>
      </c>
      <c r="K115" s="21" t="s">
        <v>85</v>
      </c>
      <c r="L115" s="25"/>
      <c r="M115" s="25">
        <v>0.17</v>
      </c>
      <c r="N115" s="22"/>
      <c r="O115" s="23" t="s">
        <v>85</v>
      </c>
      <c r="P115" s="20">
        <f t="shared" si="48"/>
        <v>30</v>
      </c>
      <c r="Q115" s="23" t="s">
        <v>85</v>
      </c>
      <c r="R115" s="24">
        <f t="shared" si="49"/>
        <v>1225080</v>
      </c>
      <c r="S115" s="24">
        <f t="shared" si="44"/>
        <v>1103675.6756756755</v>
      </c>
    </row>
    <row r="116" spans="1:19" s="19" customFormat="1">
      <c r="A116" s="18" t="s">
        <v>95</v>
      </c>
      <c r="B116" s="19" t="s">
        <v>25</v>
      </c>
      <c r="C116" s="20"/>
      <c r="D116" s="21" t="s">
        <v>85</v>
      </c>
      <c r="E116" s="26"/>
      <c r="F116" s="22">
        <v>1</v>
      </c>
      <c r="G116" s="23" t="s">
        <v>20</v>
      </c>
      <c r="H116" s="22">
        <v>20</v>
      </c>
      <c r="I116" s="23" t="s">
        <v>85</v>
      </c>
      <c r="J116" s="24">
        <f>1380000/20</f>
        <v>69000</v>
      </c>
      <c r="K116" s="21" t="s">
        <v>85</v>
      </c>
      <c r="L116" s="25"/>
      <c r="M116" s="25">
        <v>0.17</v>
      </c>
      <c r="N116" s="22"/>
      <c r="O116" s="23" t="s">
        <v>85</v>
      </c>
      <c r="P116" s="20">
        <f t="shared" si="48"/>
        <v>0</v>
      </c>
      <c r="Q116" s="23" t="s">
        <v>85</v>
      </c>
      <c r="R116" s="24">
        <f t="shared" si="49"/>
        <v>0</v>
      </c>
      <c r="S116" s="24">
        <f t="shared" si="44"/>
        <v>0</v>
      </c>
    </row>
    <row r="117" spans="1:19" s="19" customFormat="1">
      <c r="A117" s="18" t="s">
        <v>96</v>
      </c>
      <c r="B117" s="19" t="s">
        <v>25</v>
      </c>
      <c r="C117" s="20"/>
      <c r="D117" s="21" t="s">
        <v>85</v>
      </c>
      <c r="E117" s="26"/>
      <c r="F117" s="22">
        <v>1</v>
      </c>
      <c r="G117" s="23" t="s">
        <v>20</v>
      </c>
      <c r="H117" s="22">
        <v>10</v>
      </c>
      <c r="I117" s="23" t="s">
        <v>85</v>
      </c>
      <c r="J117" s="24">
        <f>1200000/10</f>
        <v>120000</v>
      </c>
      <c r="K117" s="21" t="s">
        <v>85</v>
      </c>
      <c r="L117" s="25"/>
      <c r="M117" s="25">
        <v>0.17</v>
      </c>
      <c r="N117" s="22"/>
      <c r="O117" s="23" t="s">
        <v>85</v>
      </c>
      <c r="P117" s="20">
        <f t="shared" si="48"/>
        <v>0</v>
      </c>
      <c r="Q117" s="23" t="s">
        <v>85</v>
      </c>
      <c r="R117" s="24">
        <f t="shared" si="49"/>
        <v>0</v>
      </c>
      <c r="S117" s="24">
        <f t="shared" si="44"/>
        <v>0</v>
      </c>
    </row>
    <row r="118" spans="1:19" s="19" customFormat="1">
      <c r="A118" s="18" t="s">
        <v>97</v>
      </c>
      <c r="B118" s="19" t="s">
        <v>25</v>
      </c>
      <c r="C118" s="20"/>
      <c r="D118" s="21" t="s">
        <v>85</v>
      </c>
      <c r="E118" s="26">
        <v>3</v>
      </c>
      <c r="F118" s="22">
        <v>1</v>
      </c>
      <c r="G118" s="23" t="s">
        <v>20</v>
      </c>
      <c r="H118" s="22">
        <v>5</v>
      </c>
      <c r="I118" s="23" t="s">
        <v>85</v>
      </c>
      <c r="J118" s="24">
        <f>900000/5</f>
        <v>180000</v>
      </c>
      <c r="K118" s="21" t="s">
        <v>85</v>
      </c>
      <c r="L118" s="25"/>
      <c r="M118" s="25">
        <v>0.17</v>
      </c>
      <c r="N118" s="22"/>
      <c r="O118" s="23" t="s">
        <v>85</v>
      </c>
      <c r="P118" s="20">
        <f t="shared" si="48"/>
        <v>15</v>
      </c>
      <c r="Q118" s="23" t="s">
        <v>85</v>
      </c>
      <c r="R118" s="24">
        <f t="shared" si="49"/>
        <v>2241000</v>
      </c>
      <c r="S118" s="24">
        <f t="shared" si="44"/>
        <v>2018918.9189189188</v>
      </c>
    </row>
    <row r="119" spans="1:19" s="19" customFormat="1">
      <c r="A119" s="18" t="s">
        <v>714</v>
      </c>
      <c r="B119" s="19" t="s">
        <v>25</v>
      </c>
      <c r="C119" s="20"/>
      <c r="D119" s="21" t="s">
        <v>33</v>
      </c>
      <c r="E119" s="26"/>
      <c r="F119" s="22">
        <v>1</v>
      </c>
      <c r="G119" s="23" t="s">
        <v>20</v>
      </c>
      <c r="H119" s="22">
        <v>72</v>
      </c>
      <c r="I119" s="23" t="s">
        <v>33</v>
      </c>
      <c r="J119" s="24">
        <f>1548000/72</f>
        <v>21500</v>
      </c>
      <c r="K119" s="21" t="s">
        <v>33</v>
      </c>
      <c r="L119" s="25"/>
      <c r="M119" s="25">
        <v>0.17</v>
      </c>
      <c r="N119" s="22"/>
      <c r="O119" s="23" t="s">
        <v>33</v>
      </c>
      <c r="P119" s="20">
        <f t="shared" si="48"/>
        <v>0</v>
      </c>
      <c r="Q119" s="23" t="s">
        <v>33</v>
      </c>
      <c r="R119" s="24">
        <f t="shared" si="49"/>
        <v>0</v>
      </c>
      <c r="S119" s="24">
        <f t="shared" si="44"/>
        <v>0</v>
      </c>
    </row>
    <row r="120" spans="1:19" s="19" customFormat="1">
      <c r="A120" s="18"/>
      <c r="C120" s="20"/>
      <c r="D120" s="21"/>
      <c r="E120" s="26"/>
      <c r="F120" s="22"/>
      <c r="G120" s="23"/>
      <c r="H120" s="22"/>
      <c r="I120" s="23"/>
      <c r="J120" s="24"/>
      <c r="K120" s="21"/>
      <c r="L120" s="25"/>
      <c r="M120" s="25"/>
      <c r="N120" s="22"/>
      <c r="O120" s="23"/>
      <c r="P120" s="20"/>
      <c r="Q120" s="23"/>
      <c r="R120" s="24"/>
      <c r="S120" s="24"/>
    </row>
    <row r="121" spans="1:19" s="19" customFormat="1">
      <c r="A121" s="88" t="s">
        <v>98</v>
      </c>
      <c r="C121" s="20"/>
      <c r="D121" s="21"/>
      <c r="E121" s="26"/>
      <c r="F121" s="22"/>
      <c r="G121" s="23"/>
      <c r="H121" s="22"/>
      <c r="I121" s="23"/>
      <c r="J121" s="24"/>
      <c r="K121" s="21"/>
      <c r="L121" s="25"/>
      <c r="M121" s="25"/>
      <c r="N121" s="22"/>
      <c r="O121" s="23"/>
      <c r="P121" s="20"/>
      <c r="Q121" s="23"/>
      <c r="R121" s="24"/>
      <c r="S121" s="24"/>
    </row>
    <row r="122" spans="1:19" s="19" customFormat="1">
      <c r="A122" s="18" t="s">
        <v>99</v>
      </c>
      <c r="B122" s="19" t="s">
        <v>18</v>
      </c>
      <c r="C122" s="20"/>
      <c r="D122" s="21" t="s">
        <v>33</v>
      </c>
      <c r="E122" s="26">
        <v>1</v>
      </c>
      <c r="F122" s="22">
        <v>50</v>
      </c>
      <c r="G122" s="23" t="s">
        <v>100</v>
      </c>
      <c r="H122" s="22">
        <v>10</v>
      </c>
      <c r="I122" s="23" t="s">
        <v>33</v>
      </c>
      <c r="J122" s="24">
        <v>1850</v>
      </c>
      <c r="K122" s="21" t="s">
        <v>33</v>
      </c>
      <c r="L122" s="25">
        <v>0.125</v>
      </c>
      <c r="M122" s="25">
        <v>0.05</v>
      </c>
      <c r="N122" s="22"/>
      <c r="O122" s="23" t="s">
        <v>33</v>
      </c>
      <c r="P122" s="20">
        <f>(C122+(E122*F122*H122))-N122</f>
        <v>500</v>
      </c>
      <c r="Q122" s="23" t="s">
        <v>33</v>
      </c>
      <c r="R122" s="24">
        <f>P122*(J122-(J122*L122)-((J122-(J122*L122))*M122))</f>
        <v>768906.25</v>
      </c>
      <c r="S122" s="24">
        <f t="shared" si="44"/>
        <v>692708.33333333326</v>
      </c>
    </row>
    <row r="123" spans="1:19" s="19" customFormat="1">
      <c r="A123" s="18" t="s">
        <v>101</v>
      </c>
      <c r="B123" s="19" t="s">
        <v>18</v>
      </c>
      <c r="C123" s="20"/>
      <c r="D123" s="21" t="s">
        <v>33</v>
      </c>
      <c r="E123" s="26">
        <v>6</v>
      </c>
      <c r="F123" s="22">
        <v>50</v>
      </c>
      <c r="G123" s="23" t="s">
        <v>100</v>
      </c>
      <c r="H123" s="22">
        <v>10</v>
      </c>
      <c r="I123" s="23" t="s">
        <v>33</v>
      </c>
      <c r="J123" s="24">
        <v>1625</v>
      </c>
      <c r="K123" s="21" t="s">
        <v>33</v>
      </c>
      <c r="L123" s="25">
        <v>0.125</v>
      </c>
      <c r="M123" s="25">
        <v>0.05</v>
      </c>
      <c r="N123" s="22"/>
      <c r="O123" s="23" t="s">
        <v>33</v>
      </c>
      <c r="P123" s="20">
        <f>(C123+(E123*F123*H123))-N123</f>
        <v>3000</v>
      </c>
      <c r="Q123" s="23" t="s">
        <v>33</v>
      </c>
      <c r="R123" s="24">
        <f>P123*(J123-(J123*L123)-((J123-(J123*L123))*M123))</f>
        <v>4052343.75</v>
      </c>
      <c r="S123" s="24">
        <f t="shared" si="44"/>
        <v>3650760.1351351347</v>
      </c>
    </row>
    <row r="124" spans="1:19" s="19" customFormat="1">
      <c r="A124" s="18" t="s">
        <v>102</v>
      </c>
      <c r="B124" s="19" t="s">
        <v>18</v>
      </c>
      <c r="C124" s="20"/>
      <c r="D124" s="21" t="s">
        <v>33</v>
      </c>
      <c r="E124" s="26"/>
      <c r="F124" s="22">
        <v>20</v>
      </c>
      <c r="G124" s="23" t="s">
        <v>100</v>
      </c>
      <c r="H124" s="22">
        <v>10</v>
      </c>
      <c r="I124" s="23" t="s">
        <v>33</v>
      </c>
      <c r="J124" s="24">
        <v>4400</v>
      </c>
      <c r="K124" s="21" t="s">
        <v>33</v>
      </c>
      <c r="L124" s="25">
        <v>0.125</v>
      </c>
      <c r="M124" s="25">
        <v>0.05</v>
      </c>
      <c r="N124" s="22"/>
      <c r="O124" s="23" t="s">
        <v>33</v>
      </c>
      <c r="P124" s="20">
        <f>(C124+(E124*F124*H124))-N124</f>
        <v>0</v>
      </c>
      <c r="Q124" s="23" t="s">
        <v>33</v>
      </c>
      <c r="R124" s="24">
        <f>P124*(J124-(J124*L124)-((J124-(J124*L124))*M124))</f>
        <v>0</v>
      </c>
      <c r="S124" s="24">
        <f t="shared" si="44"/>
        <v>0</v>
      </c>
    </row>
    <row r="125" spans="1:19" s="19" customFormat="1">
      <c r="A125" s="18" t="s">
        <v>103</v>
      </c>
      <c r="B125" s="19" t="s">
        <v>18</v>
      </c>
      <c r="C125" s="20"/>
      <c r="D125" s="21" t="s">
        <v>104</v>
      </c>
      <c r="E125" s="26"/>
      <c r="F125" s="22">
        <v>24</v>
      </c>
      <c r="G125" s="23" t="s">
        <v>33</v>
      </c>
      <c r="H125" s="22">
        <v>12</v>
      </c>
      <c r="I125" s="23" t="s">
        <v>104</v>
      </c>
      <c r="J125" s="24">
        <v>3100</v>
      </c>
      <c r="K125" s="21" t="s">
        <v>104</v>
      </c>
      <c r="L125" s="25">
        <v>0.125</v>
      </c>
      <c r="M125" s="25">
        <v>0.05</v>
      </c>
      <c r="N125" s="22"/>
      <c r="O125" s="23" t="s">
        <v>104</v>
      </c>
      <c r="P125" s="20">
        <f>(C125+(E125*F125*H125))-N125</f>
        <v>0</v>
      </c>
      <c r="Q125" s="23" t="s">
        <v>104</v>
      </c>
      <c r="R125" s="24">
        <f>P125*(J125-(J125*L125)-((J125-(J125*L125))*M125))</f>
        <v>0</v>
      </c>
      <c r="S125" s="24">
        <f t="shared" si="44"/>
        <v>0</v>
      </c>
    </row>
    <row r="126" spans="1:19" s="19" customFormat="1">
      <c r="A126" s="18"/>
      <c r="C126" s="20"/>
      <c r="D126" s="21"/>
      <c r="E126" s="26"/>
      <c r="F126" s="22"/>
      <c r="G126" s="23"/>
      <c r="H126" s="22"/>
      <c r="I126" s="23"/>
      <c r="J126" s="24"/>
      <c r="K126" s="21"/>
      <c r="L126" s="25"/>
      <c r="M126" s="25"/>
      <c r="N126" s="22"/>
      <c r="O126" s="23"/>
      <c r="P126" s="20"/>
      <c r="Q126" s="23"/>
      <c r="R126" s="24"/>
      <c r="S126" s="24"/>
    </row>
    <row r="127" spans="1:19" s="19" customFormat="1">
      <c r="A127" s="18" t="s">
        <v>105</v>
      </c>
      <c r="B127" s="19" t="s">
        <v>25</v>
      </c>
      <c r="C127" s="20"/>
      <c r="D127" s="21" t="s">
        <v>33</v>
      </c>
      <c r="E127" s="26"/>
      <c r="F127" s="22">
        <v>50</v>
      </c>
      <c r="G127" s="23" t="s">
        <v>100</v>
      </c>
      <c r="H127" s="22">
        <v>10</v>
      </c>
      <c r="I127" s="23" t="s">
        <v>33</v>
      </c>
      <c r="J127" s="24">
        <f>850000/50/10</f>
        <v>1700</v>
      </c>
      <c r="K127" s="21" t="s">
        <v>33</v>
      </c>
      <c r="L127" s="25"/>
      <c r="M127" s="25">
        <v>0.17</v>
      </c>
      <c r="N127" s="22"/>
      <c r="O127" s="23" t="s">
        <v>33</v>
      </c>
      <c r="P127" s="20">
        <f>(C127+(E127*F127*H127))-N127</f>
        <v>0</v>
      </c>
      <c r="Q127" s="23" t="s">
        <v>33</v>
      </c>
      <c r="R127" s="24">
        <f>P127*(J127-(J127*L127)-((J127-(J127*L127))*M127))</f>
        <v>0</v>
      </c>
      <c r="S127" s="24">
        <f t="shared" si="44"/>
        <v>0</v>
      </c>
    </row>
    <row r="128" spans="1:19" s="19" customFormat="1">
      <c r="A128" s="18" t="s">
        <v>106</v>
      </c>
      <c r="B128" s="19" t="s">
        <v>25</v>
      </c>
      <c r="C128" s="20"/>
      <c r="D128" s="21" t="s">
        <v>33</v>
      </c>
      <c r="E128" s="26">
        <v>3</v>
      </c>
      <c r="F128" s="22">
        <v>50</v>
      </c>
      <c r="G128" s="23" t="s">
        <v>100</v>
      </c>
      <c r="H128" s="22">
        <v>10</v>
      </c>
      <c r="I128" s="23" t="s">
        <v>33</v>
      </c>
      <c r="J128" s="24">
        <f>800000/50/10</f>
        <v>1600</v>
      </c>
      <c r="K128" s="21" t="s">
        <v>33</v>
      </c>
      <c r="L128" s="25"/>
      <c r="M128" s="25">
        <v>0.17</v>
      </c>
      <c r="N128" s="22"/>
      <c r="O128" s="23" t="s">
        <v>33</v>
      </c>
      <c r="P128" s="20">
        <f>(C128+(E128*F128*H128))-N128</f>
        <v>1500</v>
      </c>
      <c r="Q128" s="23" t="s">
        <v>33</v>
      </c>
      <c r="R128" s="24">
        <f>P128*(J128-(J128*L128)-((J128-(J128*L128))*M128))</f>
        <v>1992000</v>
      </c>
      <c r="S128" s="24">
        <f t="shared" si="44"/>
        <v>1794594.5945945943</v>
      </c>
    </row>
    <row r="129" spans="1:19" s="19" customFormat="1">
      <c r="A129" s="18" t="s">
        <v>107</v>
      </c>
      <c r="B129" s="19" t="s">
        <v>25</v>
      </c>
      <c r="C129" s="20"/>
      <c r="D129" s="21" t="s">
        <v>33</v>
      </c>
      <c r="E129" s="26">
        <v>3</v>
      </c>
      <c r="F129" s="22">
        <v>20</v>
      </c>
      <c r="G129" s="23" t="s">
        <v>100</v>
      </c>
      <c r="H129" s="22">
        <v>10</v>
      </c>
      <c r="I129" s="23" t="s">
        <v>33</v>
      </c>
      <c r="J129" s="24">
        <f>860000/20/10</f>
        <v>4300</v>
      </c>
      <c r="K129" s="21" t="s">
        <v>33</v>
      </c>
      <c r="L129" s="25"/>
      <c r="M129" s="25">
        <v>0.17</v>
      </c>
      <c r="N129" s="22"/>
      <c r="O129" s="23" t="s">
        <v>33</v>
      </c>
      <c r="P129" s="20">
        <f>(C129+(E129*F129*H129))-N129</f>
        <v>600</v>
      </c>
      <c r="Q129" s="23" t="s">
        <v>33</v>
      </c>
      <c r="R129" s="24">
        <f>P129*(J129-(J129*L129)-((J129-(J129*L129))*M129))</f>
        <v>2141400</v>
      </c>
      <c r="S129" s="24">
        <f t="shared" si="44"/>
        <v>1929189.1891891891</v>
      </c>
    </row>
    <row r="130" spans="1:19" s="19" customFormat="1">
      <c r="A130" s="18" t="s">
        <v>108</v>
      </c>
      <c r="B130" s="19" t="s">
        <v>25</v>
      </c>
      <c r="C130" s="20"/>
      <c r="D130" s="21" t="s">
        <v>41</v>
      </c>
      <c r="E130" s="26">
        <v>1</v>
      </c>
      <c r="F130" s="22">
        <v>1</v>
      </c>
      <c r="G130" s="23" t="s">
        <v>20</v>
      </c>
      <c r="H130" s="22">
        <v>48</v>
      </c>
      <c r="I130" s="23" t="s">
        <v>41</v>
      </c>
      <c r="J130" s="24">
        <f>1987200/48</f>
        <v>41400</v>
      </c>
      <c r="K130" s="21" t="s">
        <v>41</v>
      </c>
      <c r="L130" s="25"/>
      <c r="M130" s="25">
        <v>0.17</v>
      </c>
      <c r="N130" s="22"/>
      <c r="O130" s="23" t="s">
        <v>41</v>
      </c>
      <c r="P130" s="20">
        <f>(C130+(E130*F130*H130))-N130</f>
        <v>48</v>
      </c>
      <c r="Q130" s="23" t="s">
        <v>41</v>
      </c>
      <c r="R130" s="24">
        <f>P130*(J130-(J130*L130)-((J130-(J130*L130))*M130))</f>
        <v>1649376</v>
      </c>
      <c r="S130" s="24">
        <f t="shared" si="44"/>
        <v>1485924.3243243243</v>
      </c>
    </row>
    <row r="131" spans="1:19" s="19" customFormat="1">
      <c r="A131" s="18"/>
      <c r="C131" s="20"/>
      <c r="D131" s="21"/>
      <c r="E131" s="26"/>
      <c r="F131" s="22"/>
      <c r="G131" s="23"/>
      <c r="H131" s="22"/>
      <c r="I131" s="23"/>
      <c r="J131" s="24"/>
      <c r="K131" s="21"/>
      <c r="L131" s="25"/>
      <c r="M131" s="25"/>
      <c r="N131" s="22"/>
      <c r="O131" s="23"/>
      <c r="P131" s="20"/>
      <c r="Q131" s="23"/>
      <c r="R131" s="24"/>
      <c r="S131" s="24"/>
    </row>
    <row r="132" spans="1:19" s="19" customFormat="1" ht="15.75">
      <c r="A132" s="44" t="s">
        <v>109</v>
      </c>
      <c r="C132" s="20"/>
      <c r="D132" s="21"/>
      <c r="E132" s="26"/>
      <c r="F132" s="22"/>
      <c r="G132" s="23"/>
      <c r="H132" s="22"/>
      <c r="I132" s="23"/>
      <c r="J132" s="24"/>
      <c r="K132" s="21"/>
      <c r="L132" s="25"/>
      <c r="M132" s="25"/>
      <c r="N132" s="22"/>
      <c r="O132" s="23"/>
      <c r="P132" s="20"/>
      <c r="Q132" s="23"/>
      <c r="R132" s="24"/>
      <c r="S132" s="24"/>
    </row>
    <row r="133" spans="1:19" s="19" customFormat="1">
      <c r="A133" s="88" t="s">
        <v>110</v>
      </c>
      <c r="C133" s="20"/>
      <c r="D133" s="21"/>
      <c r="E133" s="26"/>
      <c r="F133" s="22"/>
      <c r="G133" s="23"/>
      <c r="H133" s="22"/>
      <c r="I133" s="23"/>
      <c r="J133" s="24"/>
      <c r="K133" s="21"/>
      <c r="L133" s="25"/>
      <c r="M133" s="25"/>
      <c r="N133" s="22"/>
      <c r="O133" s="23"/>
      <c r="P133" s="20"/>
      <c r="Q133" s="23"/>
      <c r="R133" s="24"/>
      <c r="S133" s="24"/>
    </row>
    <row r="134" spans="1:19" s="19" customFormat="1">
      <c r="A134" s="18" t="s">
        <v>111</v>
      </c>
      <c r="B134" s="19" t="s">
        <v>18</v>
      </c>
      <c r="C134" s="20"/>
      <c r="D134" s="21" t="s">
        <v>41</v>
      </c>
      <c r="E134" s="26"/>
      <c r="F134" s="22">
        <v>1</v>
      </c>
      <c r="G134" s="23" t="s">
        <v>20</v>
      </c>
      <c r="H134" s="22">
        <v>48</v>
      </c>
      <c r="I134" s="23" t="s">
        <v>41</v>
      </c>
      <c r="J134" s="24">
        <v>36000</v>
      </c>
      <c r="K134" s="21" t="s">
        <v>41</v>
      </c>
      <c r="L134" s="25">
        <v>0.125</v>
      </c>
      <c r="M134" s="25">
        <v>0.05</v>
      </c>
      <c r="N134" s="22"/>
      <c r="O134" s="23" t="s">
        <v>41</v>
      </c>
      <c r="P134" s="20">
        <f t="shared" ref="P134:P148" si="50">(C134+(E134*F134*H134))-N134</f>
        <v>0</v>
      </c>
      <c r="Q134" s="23" t="s">
        <v>41</v>
      </c>
      <c r="R134" s="24">
        <f t="shared" ref="R134:R148" si="51">P134*(J134-(J134*L134)-((J134-(J134*L134))*M134))</f>
        <v>0</v>
      </c>
      <c r="S134" s="24">
        <f t="shared" si="44"/>
        <v>0</v>
      </c>
    </row>
    <row r="135" spans="1:19" s="19" customFormat="1">
      <c r="A135" s="18" t="s">
        <v>112</v>
      </c>
      <c r="B135" s="19" t="s">
        <v>18</v>
      </c>
      <c r="C135" s="20"/>
      <c r="D135" s="21" t="s">
        <v>41</v>
      </c>
      <c r="E135" s="26">
        <v>2</v>
      </c>
      <c r="F135" s="22">
        <v>1</v>
      </c>
      <c r="G135" s="23" t="s">
        <v>20</v>
      </c>
      <c r="H135" s="22">
        <v>48</v>
      </c>
      <c r="I135" s="23" t="s">
        <v>41</v>
      </c>
      <c r="J135" s="24">
        <v>36000</v>
      </c>
      <c r="K135" s="21" t="s">
        <v>41</v>
      </c>
      <c r="L135" s="25">
        <v>0.125</v>
      </c>
      <c r="M135" s="25">
        <v>0.05</v>
      </c>
      <c r="N135" s="22"/>
      <c r="O135" s="23" t="s">
        <v>41</v>
      </c>
      <c r="P135" s="20">
        <f t="shared" si="50"/>
        <v>96</v>
      </c>
      <c r="Q135" s="23" t="s">
        <v>41</v>
      </c>
      <c r="R135" s="24">
        <f t="shared" si="51"/>
        <v>2872800</v>
      </c>
      <c r="S135" s="24">
        <f t="shared" si="44"/>
        <v>2588108.1081081079</v>
      </c>
    </row>
    <row r="136" spans="1:19" s="19" customFormat="1">
      <c r="A136" s="18" t="s">
        <v>754</v>
      </c>
      <c r="B136" s="19" t="s">
        <v>18</v>
      </c>
      <c r="C136" s="20"/>
      <c r="D136" s="21" t="s">
        <v>41</v>
      </c>
      <c r="E136" s="26"/>
      <c r="F136" s="22">
        <v>1</v>
      </c>
      <c r="G136" s="23" t="s">
        <v>20</v>
      </c>
      <c r="H136" s="22">
        <v>48</v>
      </c>
      <c r="I136" s="23" t="s">
        <v>41</v>
      </c>
      <c r="J136" s="24">
        <v>36000</v>
      </c>
      <c r="K136" s="21" t="s">
        <v>41</v>
      </c>
      <c r="L136" s="25">
        <v>0.125</v>
      </c>
      <c r="M136" s="25">
        <v>0.05</v>
      </c>
      <c r="N136" s="22"/>
      <c r="O136" s="23" t="s">
        <v>41</v>
      </c>
      <c r="P136" s="20">
        <f t="shared" si="50"/>
        <v>0</v>
      </c>
      <c r="Q136" s="23" t="s">
        <v>41</v>
      </c>
      <c r="R136" s="24">
        <f t="shared" si="51"/>
        <v>0</v>
      </c>
      <c r="S136" s="24">
        <f t="shared" si="44"/>
        <v>0</v>
      </c>
    </row>
    <row r="137" spans="1:19" s="19" customFormat="1">
      <c r="A137" s="18" t="s">
        <v>113</v>
      </c>
      <c r="B137" s="19" t="s">
        <v>18</v>
      </c>
      <c r="C137" s="20"/>
      <c r="D137" s="21" t="s">
        <v>41</v>
      </c>
      <c r="E137" s="26"/>
      <c r="F137" s="22">
        <v>1</v>
      </c>
      <c r="G137" s="23" t="s">
        <v>20</v>
      </c>
      <c r="H137" s="22">
        <v>48</v>
      </c>
      <c r="I137" s="23" t="s">
        <v>41</v>
      </c>
      <c r="J137" s="24">
        <v>39000</v>
      </c>
      <c r="K137" s="21" t="s">
        <v>41</v>
      </c>
      <c r="L137" s="25">
        <v>0.125</v>
      </c>
      <c r="M137" s="25">
        <v>0.05</v>
      </c>
      <c r="N137" s="22"/>
      <c r="O137" s="23" t="s">
        <v>41</v>
      </c>
      <c r="P137" s="20">
        <f t="shared" si="50"/>
        <v>0</v>
      </c>
      <c r="Q137" s="23" t="s">
        <v>41</v>
      </c>
      <c r="R137" s="24">
        <f t="shared" si="51"/>
        <v>0</v>
      </c>
      <c r="S137" s="24">
        <f t="shared" si="44"/>
        <v>0</v>
      </c>
    </row>
    <row r="138" spans="1:19" s="19" customFormat="1">
      <c r="A138" s="18" t="s">
        <v>114</v>
      </c>
      <c r="B138" s="19" t="s">
        <v>18</v>
      </c>
      <c r="C138" s="20"/>
      <c r="D138" s="21" t="s">
        <v>41</v>
      </c>
      <c r="E138" s="26"/>
      <c r="F138" s="22">
        <v>1</v>
      </c>
      <c r="G138" s="23" t="s">
        <v>20</v>
      </c>
      <c r="H138" s="22">
        <v>48</v>
      </c>
      <c r="I138" s="23" t="s">
        <v>41</v>
      </c>
      <c r="J138" s="24">
        <v>54600</v>
      </c>
      <c r="K138" s="21" t="s">
        <v>41</v>
      </c>
      <c r="L138" s="25">
        <v>0.125</v>
      </c>
      <c r="M138" s="25">
        <v>0.05</v>
      </c>
      <c r="N138" s="22"/>
      <c r="O138" s="23" t="s">
        <v>41</v>
      </c>
      <c r="P138" s="20">
        <f t="shared" si="50"/>
        <v>0</v>
      </c>
      <c r="Q138" s="23" t="s">
        <v>41</v>
      </c>
      <c r="R138" s="24">
        <f t="shared" si="51"/>
        <v>0</v>
      </c>
      <c r="S138" s="24">
        <f t="shared" si="44"/>
        <v>0</v>
      </c>
    </row>
    <row r="139" spans="1:19" s="19" customFormat="1">
      <c r="A139" s="18" t="s">
        <v>115</v>
      </c>
      <c r="B139" s="19" t="s">
        <v>18</v>
      </c>
      <c r="C139" s="20"/>
      <c r="D139" s="21" t="s">
        <v>41</v>
      </c>
      <c r="E139" s="26"/>
      <c r="F139" s="22">
        <v>1</v>
      </c>
      <c r="G139" s="23" t="s">
        <v>20</v>
      </c>
      <c r="H139" s="22">
        <v>48</v>
      </c>
      <c r="I139" s="23" t="s">
        <v>41</v>
      </c>
      <c r="J139" s="24">
        <v>30000</v>
      </c>
      <c r="K139" s="21" t="s">
        <v>41</v>
      </c>
      <c r="L139" s="25">
        <v>0.125</v>
      </c>
      <c r="M139" s="25">
        <v>0.05</v>
      </c>
      <c r="N139" s="22"/>
      <c r="O139" s="23" t="s">
        <v>41</v>
      </c>
      <c r="P139" s="20">
        <f t="shared" si="50"/>
        <v>0</v>
      </c>
      <c r="Q139" s="23" t="s">
        <v>41</v>
      </c>
      <c r="R139" s="24">
        <f t="shared" si="51"/>
        <v>0</v>
      </c>
      <c r="S139" s="24">
        <f t="shared" si="44"/>
        <v>0</v>
      </c>
    </row>
    <row r="140" spans="1:19" s="19" customFormat="1">
      <c r="A140" s="18" t="s">
        <v>699</v>
      </c>
      <c r="B140" s="19" t="s">
        <v>18</v>
      </c>
      <c r="C140" s="20"/>
      <c r="D140" s="21" t="s">
        <v>41</v>
      </c>
      <c r="E140" s="26"/>
      <c r="F140" s="22">
        <v>1</v>
      </c>
      <c r="G140" s="23" t="s">
        <v>20</v>
      </c>
      <c r="H140" s="22">
        <v>48</v>
      </c>
      <c r="I140" s="23" t="s">
        <v>41</v>
      </c>
      <c r="J140" s="24">
        <v>48000</v>
      </c>
      <c r="K140" s="21" t="s">
        <v>41</v>
      </c>
      <c r="L140" s="25">
        <v>0.125</v>
      </c>
      <c r="M140" s="25">
        <v>0.05</v>
      </c>
      <c r="N140" s="22"/>
      <c r="O140" s="23" t="s">
        <v>41</v>
      </c>
      <c r="P140" s="20">
        <f t="shared" si="50"/>
        <v>0</v>
      </c>
      <c r="Q140" s="23" t="s">
        <v>41</v>
      </c>
      <c r="R140" s="24">
        <f t="shared" si="51"/>
        <v>0</v>
      </c>
      <c r="S140" s="24">
        <f t="shared" si="44"/>
        <v>0</v>
      </c>
    </row>
    <row r="141" spans="1:19" s="19" customFormat="1">
      <c r="A141" s="18" t="s">
        <v>116</v>
      </c>
      <c r="B141" s="19" t="s">
        <v>18</v>
      </c>
      <c r="C141" s="20"/>
      <c r="D141" s="21" t="s">
        <v>41</v>
      </c>
      <c r="E141" s="26"/>
      <c r="F141" s="22">
        <v>1</v>
      </c>
      <c r="G141" s="23" t="s">
        <v>20</v>
      </c>
      <c r="H141" s="22">
        <v>36</v>
      </c>
      <c r="I141" s="23" t="s">
        <v>41</v>
      </c>
      <c r="J141" s="24">
        <v>41400</v>
      </c>
      <c r="K141" s="21" t="s">
        <v>41</v>
      </c>
      <c r="L141" s="25">
        <v>0.125</v>
      </c>
      <c r="M141" s="25">
        <v>0.05</v>
      </c>
      <c r="N141" s="22"/>
      <c r="O141" s="23" t="s">
        <v>41</v>
      </c>
      <c r="P141" s="20">
        <f t="shared" si="50"/>
        <v>0</v>
      </c>
      <c r="Q141" s="23" t="s">
        <v>41</v>
      </c>
      <c r="R141" s="24">
        <f t="shared" si="51"/>
        <v>0</v>
      </c>
      <c r="S141" s="24">
        <f t="shared" si="44"/>
        <v>0</v>
      </c>
    </row>
    <row r="142" spans="1:19" s="19" customFormat="1">
      <c r="A142" s="18" t="s">
        <v>117</v>
      </c>
      <c r="B142" s="19" t="s">
        <v>18</v>
      </c>
      <c r="C142" s="20"/>
      <c r="D142" s="21" t="s">
        <v>41</v>
      </c>
      <c r="E142" s="26">
        <v>1</v>
      </c>
      <c r="F142" s="22">
        <v>1</v>
      </c>
      <c r="G142" s="23" t="s">
        <v>20</v>
      </c>
      <c r="H142" s="22">
        <v>36</v>
      </c>
      <c r="I142" s="23" t="s">
        <v>41</v>
      </c>
      <c r="J142" s="24">
        <v>41400</v>
      </c>
      <c r="K142" s="21" t="s">
        <v>41</v>
      </c>
      <c r="L142" s="25">
        <v>0.125</v>
      </c>
      <c r="M142" s="25">
        <v>0.05</v>
      </c>
      <c r="N142" s="22"/>
      <c r="O142" s="23" t="s">
        <v>41</v>
      </c>
      <c r="P142" s="20">
        <f t="shared" si="50"/>
        <v>36</v>
      </c>
      <c r="Q142" s="23" t="s">
        <v>41</v>
      </c>
      <c r="R142" s="24">
        <f t="shared" si="51"/>
        <v>1238895</v>
      </c>
      <c r="S142" s="24">
        <f t="shared" si="44"/>
        <v>1116121.6216216215</v>
      </c>
    </row>
    <row r="143" spans="1:19" s="19" customFormat="1">
      <c r="A143" s="18" t="s">
        <v>118</v>
      </c>
      <c r="B143" s="19" t="s">
        <v>18</v>
      </c>
      <c r="C143" s="20"/>
      <c r="D143" s="21" t="s">
        <v>41</v>
      </c>
      <c r="E143" s="26">
        <v>5</v>
      </c>
      <c r="F143" s="22">
        <v>24</v>
      </c>
      <c r="G143" s="23" t="s">
        <v>33</v>
      </c>
      <c r="H143" s="22">
        <v>2</v>
      </c>
      <c r="I143" s="23" t="s">
        <v>41</v>
      </c>
      <c r="J143" s="24">
        <f>70800/2</f>
        <v>35400</v>
      </c>
      <c r="K143" s="21" t="s">
        <v>41</v>
      </c>
      <c r="L143" s="25">
        <v>0.125</v>
      </c>
      <c r="M143" s="25">
        <v>0.05</v>
      </c>
      <c r="N143" s="22"/>
      <c r="O143" s="23" t="s">
        <v>41</v>
      </c>
      <c r="P143" s="20">
        <f t="shared" si="50"/>
        <v>240</v>
      </c>
      <c r="Q143" s="23" t="s">
        <v>41</v>
      </c>
      <c r="R143" s="24">
        <f t="shared" si="51"/>
        <v>7062300</v>
      </c>
      <c r="S143" s="24">
        <f t="shared" si="44"/>
        <v>6362432.4324324317</v>
      </c>
    </row>
    <row r="144" spans="1:19" s="19" customFormat="1">
      <c r="A144" s="18" t="s">
        <v>119</v>
      </c>
      <c r="B144" s="19" t="s">
        <v>18</v>
      </c>
      <c r="C144" s="20"/>
      <c r="D144" s="21" t="s">
        <v>41</v>
      </c>
      <c r="E144" s="26">
        <v>5</v>
      </c>
      <c r="F144" s="22">
        <v>24</v>
      </c>
      <c r="G144" s="23" t="s">
        <v>33</v>
      </c>
      <c r="H144" s="22">
        <v>2</v>
      </c>
      <c r="I144" s="23" t="s">
        <v>41</v>
      </c>
      <c r="J144" s="24">
        <f>70800/2</f>
        <v>35400</v>
      </c>
      <c r="K144" s="21" t="s">
        <v>41</v>
      </c>
      <c r="L144" s="25">
        <v>0.125</v>
      </c>
      <c r="M144" s="25">
        <v>0.05</v>
      </c>
      <c r="N144" s="22"/>
      <c r="O144" s="23" t="s">
        <v>41</v>
      </c>
      <c r="P144" s="20">
        <f t="shared" si="50"/>
        <v>240</v>
      </c>
      <c r="Q144" s="23" t="s">
        <v>41</v>
      </c>
      <c r="R144" s="24">
        <f t="shared" si="51"/>
        <v>7062300</v>
      </c>
      <c r="S144" s="24">
        <f t="shared" si="44"/>
        <v>6362432.4324324317</v>
      </c>
    </row>
    <row r="145" spans="1:19" s="19" customFormat="1">
      <c r="A145" s="18" t="s">
        <v>120</v>
      </c>
      <c r="B145" s="19" t="s">
        <v>18</v>
      </c>
      <c r="C145" s="20"/>
      <c r="D145" s="21" t="s">
        <v>41</v>
      </c>
      <c r="E145" s="26">
        <v>2</v>
      </c>
      <c r="F145" s="22">
        <v>1</v>
      </c>
      <c r="G145" s="23" t="s">
        <v>20</v>
      </c>
      <c r="H145" s="22">
        <v>36</v>
      </c>
      <c r="I145" s="23" t="s">
        <v>41</v>
      </c>
      <c r="J145" s="24">
        <v>34200</v>
      </c>
      <c r="K145" s="21" t="s">
        <v>41</v>
      </c>
      <c r="L145" s="25">
        <v>0.125</v>
      </c>
      <c r="M145" s="25">
        <v>0.05</v>
      </c>
      <c r="N145" s="22"/>
      <c r="O145" s="23" t="s">
        <v>41</v>
      </c>
      <c r="P145" s="20">
        <f t="shared" si="50"/>
        <v>72</v>
      </c>
      <c r="Q145" s="23" t="s">
        <v>41</v>
      </c>
      <c r="R145" s="24">
        <f t="shared" si="51"/>
        <v>2046870</v>
      </c>
      <c r="S145" s="24">
        <f t="shared" si="44"/>
        <v>1844027.0270270268</v>
      </c>
    </row>
    <row r="146" spans="1:19" s="19" customFormat="1">
      <c r="A146" s="18" t="s">
        <v>121</v>
      </c>
      <c r="B146" s="19" t="s">
        <v>18</v>
      </c>
      <c r="C146" s="20"/>
      <c r="D146" s="21" t="s">
        <v>41</v>
      </c>
      <c r="E146" s="26"/>
      <c r="F146" s="22">
        <v>24</v>
      </c>
      <c r="G146" s="23" t="s">
        <v>33</v>
      </c>
      <c r="H146" s="22">
        <v>2</v>
      </c>
      <c r="I146" s="23" t="s">
        <v>41</v>
      </c>
      <c r="J146" s="24">
        <f>46800/2</f>
        <v>23400</v>
      </c>
      <c r="K146" s="21" t="s">
        <v>41</v>
      </c>
      <c r="L146" s="25">
        <v>0.125</v>
      </c>
      <c r="M146" s="25">
        <v>0.05</v>
      </c>
      <c r="N146" s="22"/>
      <c r="O146" s="23" t="s">
        <v>41</v>
      </c>
      <c r="P146" s="20">
        <f t="shared" si="50"/>
        <v>0</v>
      </c>
      <c r="Q146" s="23" t="s">
        <v>41</v>
      </c>
      <c r="R146" s="24">
        <f t="shared" si="51"/>
        <v>0</v>
      </c>
      <c r="S146" s="24">
        <f t="shared" si="44"/>
        <v>0</v>
      </c>
    </row>
    <row r="147" spans="1:19" s="19" customFormat="1">
      <c r="A147" s="18" t="s">
        <v>122</v>
      </c>
      <c r="B147" s="19" t="s">
        <v>18</v>
      </c>
      <c r="C147" s="20"/>
      <c r="D147" s="21" t="s">
        <v>41</v>
      </c>
      <c r="E147" s="26"/>
      <c r="F147" s="22">
        <v>60</v>
      </c>
      <c r="G147" s="23" t="s">
        <v>33</v>
      </c>
      <c r="H147" s="22">
        <v>1</v>
      </c>
      <c r="I147" s="23" t="s">
        <v>41</v>
      </c>
      <c r="J147" s="24">
        <v>43200</v>
      </c>
      <c r="K147" s="21" t="s">
        <v>41</v>
      </c>
      <c r="L147" s="25">
        <v>0.125</v>
      </c>
      <c r="M147" s="25">
        <v>0.05</v>
      </c>
      <c r="N147" s="22"/>
      <c r="O147" s="23" t="s">
        <v>41</v>
      </c>
      <c r="P147" s="20">
        <f t="shared" si="50"/>
        <v>0</v>
      </c>
      <c r="Q147" s="23" t="s">
        <v>41</v>
      </c>
      <c r="R147" s="24">
        <f t="shared" si="51"/>
        <v>0</v>
      </c>
      <c r="S147" s="24">
        <f t="shared" si="44"/>
        <v>0</v>
      </c>
    </row>
    <row r="148" spans="1:19" s="19" customFormat="1">
      <c r="A148" s="18" t="s">
        <v>693</v>
      </c>
      <c r="B148" s="19" t="s">
        <v>18</v>
      </c>
      <c r="C148" s="20"/>
      <c r="D148" s="21" t="s">
        <v>41</v>
      </c>
      <c r="E148" s="26"/>
      <c r="F148" s="22">
        <v>120</v>
      </c>
      <c r="G148" s="23" t="s">
        <v>33</v>
      </c>
      <c r="H148" s="22">
        <v>1</v>
      </c>
      <c r="I148" s="23" t="s">
        <v>41</v>
      </c>
      <c r="J148" s="24">
        <v>17400</v>
      </c>
      <c r="K148" s="21" t="s">
        <v>41</v>
      </c>
      <c r="L148" s="25">
        <v>0.125</v>
      </c>
      <c r="M148" s="25">
        <v>0.05</v>
      </c>
      <c r="N148" s="22"/>
      <c r="O148" s="23" t="s">
        <v>41</v>
      </c>
      <c r="P148" s="20">
        <f t="shared" si="50"/>
        <v>0</v>
      </c>
      <c r="Q148" s="23" t="s">
        <v>41</v>
      </c>
      <c r="R148" s="24">
        <f t="shared" si="51"/>
        <v>0</v>
      </c>
      <c r="S148" s="24">
        <f t="shared" si="44"/>
        <v>0</v>
      </c>
    </row>
    <row r="149" spans="1:19" s="19" customFormat="1">
      <c r="A149" s="18"/>
      <c r="C149" s="20"/>
      <c r="D149" s="21"/>
      <c r="E149" s="26"/>
      <c r="F149" s="22"/>
      <c r="G149" s="23"/>
      <c r="H149" s="22"/>
      <c r="I149" s="23"/>
      <c r="J149" s="24"/>
      <c r="K149" s="21"/>
      <c r="L149" s="25"/>
      <c r="M149" s="25"/>
      <c r="N149" s="22"/>
      <c r="O149" s="23"/>
      <c r="P149" s="20"/>
      <c r="Q149" s="23"/>
      <c r="R149" s="24"/>
      <c r="S149" s="24"/>
    </row>
    <row r="150" spans="1:19" s="19" customFormat="1">
      <c r="A150" s="18" t="s">
        <v>123</v>
      </c>
      <c r="B150" s="19" t="s">
        <v>25</v>
      </c>
      <c r="C150" s="20"/>
      <c r="D150" s="21" t="s">
        <v>41</v>
      </c>
      <c r="E150" s="26"/>
      <c r="F150" s="22">
        <v>1</v>
      </c>
      <c r="G150" s="23" t="s">
        <v>20</v>
      </c>
      <c r="H150" s="22">
        <v>36</v>
      </c>
      <c r="I150" s="23" t="s">
        <v>41</v>
      </c>
      <c r="J150" s="24">
        <f>1954800/36</f>
        <v>54300</v>
      </c>
      <c r="K150" s="21" t="s">
        <v>41</v>
      </c>
      <c r="L150" s="25"/>
      <c r="M150" s="25">
        <v>0.17</v>
      </c>
      <c r="N150" s="22"/>
      <c r="O150" s="23" t="s">
        <v>41</v>
      </c>
      <c r="P150" s="20">
        <f t="shared" ref="P150:P157" si="52">(C150+(E150*F150*H150))-N150</f>
        <v>0</v>
      </c>
      <c r="Q150" s="23" t="s">
        <v>41</v>
      </c>
      <c r="R150" s="24">
        <f t="shared" ref="R150:R157" si="53">P150*(J150-(J150*L150)-((J150-(J150*L150))*M150))</f>
        <v>0</v>
      </c>
      <c r="S150" s="24">
        <f t="shared" si="44"/>
        <v>0</v>
      </c>
    </row>
    <row r="151" spans="1:19" s="19" customFormat="1">
      <c r="A151" s="18" t="s">
        <v>124</v>
      </c>
      <c r="B151" s="19" t="s">
        <v>25</v>
      </c>
      <c r="C151" s="20"/>
      <c r="D151" s="21" t="s">
        <v>41</v>
      </c>
      <c r="E151" s="26"/>
      <c r="F151" s="22">
        <v>1</v>
      </c>
      <c r="G151" s="23" t="s">
        <v>20</v>
      </c>
      <c r="H151" s="22">
        <v>36</v>
      </c>
      <c r="I151" s="23" t="s">
        <v>41</v>
      </c>
      <c r="J151" s="24">
        <f>1954800/36</f>
        <v>54300</v>
      </c>
      <c r="K151" s="21" t="s">
        <v>41</v>
      </c>
      <c r="L151" s="25"/>
      <c r="M151" s="25">
        <v>0.17</v>
      </c>
      <c r="N151" s="22"/>
      <c r="O151" s="23" t="s">
        <v>41</v>
      </c>
      <c r="P151" s="20">
        <f t="shared" si="52"/>
        <v>0</v>
      </c>
      <c r="Q151" s="23" t="s">
        <v>41</v>
      </c>
      <c r="R151" s="24">
        <f t="shared" si="53"/>
        <v>0</v>
      </c>
      <c r="S151" s="24">
        <f t="shared" si="44"/>
        <v>0</v>
      </c>
    </row>
    <row r="152" spans="1:19" s="19" customFormat="1">
      <c r="A152" s="18" t="s">
        <v>125</v>
      </c>
      <c r="B152" s="19" t="s">
        <v>25</v>
      </c>
      <c r="C152" s="20"/>
      <c r="D152" s="21" t="s">
        <v>41</v>
      </c>
      <c r="E152" s="26">
        <v>10</v>
      </c>
      <c r="F152" s="22">
        <v>1</v>
      </c>
      <c r="G152" s="23" t="s">
        <v>20</v>
      </c>
      <c r="H152" s="22">
        <v>36</v>
      </c>
      <c r="I152" s="23" t="s">
        <v>41</v>
      </c>
      <c r="J152" s="24">
        <f>1954800/36</f>
        <v>54300</v>
      </c>
      <c r="K152" s="21" t="s">
        <v>41</v>
      </c>
      <c r="L152" s="25"/>
      <c r="M152" s="25">
        <v>0.17</v>
      </c>
      <c r="N152" s="22"/>
      <c r="O152" s="23" t="s">
        <v>41</v>
      </c>
      <c r="P152" s="20">
        <f t="shared" si="52"/>
        <v>360</v>
      </c>
      <c r="Q152" s="23" t="s">
        <v>41</v>
      </c>
      <c r="R152" s="24">
        <f t="shared" si="53"/>
        <v>16224840</v>
      </c>
      <c r="S152" s="24">
        <f t="shared" si="44"/>
        <v>14616972.972972972</v>
      </c>
    </row>
    <row r="153" spans="1:19" s="19" customFormat="1">
      <c r="A153" s="18" t="s">
        <v>126</v>
      </c>
      <c r="B153" s="19" t="s">
        <v>25</v>
      </c>
      <c r="C153" s="20"/>
      <c r="D153" s="21" t="s">
        <v>41</v>
      </c>
      <c r="E153" s="26">
        <v>2</v>
      </c>
      <c r="F153" s="22">
        <v>1</v>
      </c>
      <c r="G153" s="23" t="s">
        <v>20</v>
      </c>
      <c r="H153" s="22">
        <v>36</v>
      </c>
      <c r="I153" s="23" t="s">
        <v>41</v>
      </c>
      <c r="J153" s="24">
        <f>2008800/36</f>
        <v>55800</v>
      </c>
      <c r="K153" s="21" t="s">
        <v>41</v>
      </c>
      <c r="L153" s="25"/>
      <c r="M153" s="25">
        <v>0.17</v>
      </c>
      <c r="N153" s="22"/>
      <c r="O153" s="23" t="s">
        <v>41</v>
      </c>
      <c r="P153" s="20">
        <f t="shared" si="52"/>
        <v>72</v>
      </c>
      <c r="Q153" s="23" t="s">
        <v>41</v>
      </c>
      <c r="R153" s="24">
        <f t="shared" si="53"/>
        <v>3334608</v>
      </c>
      <c r="S153" s="24">
        <f t="shared" si="44"/>
        <v>3004151.351351351</v>
      </c>
    </row>
    <row r="154" spans="1:19" s="19" customFormat="1">
      <c r="A154" s="18" t="s">
        <v>127</v>
      </c>
      <c r="B154" s="19" t="s">
        <v>25</v>
      </c>
      <c r="C154" s="20"/>
      <c r="D154" s="21" t="s">
        <v>41</v>
      </c>
      <c r="E154" s="26">
        <v>14</v>
      </c>
      <c r="F154" s="22">
        <v>1</v>
      </c>
      <c r="G154" s="23" t="s">
        <v>20</v>
      </c>
      <c r="H154" s="22">
        <v>36</v>
      </c>
      <c r="I154" s="23" t="s">
        <v>41</v>
      </c>
      <c r="J154" s="24">
        <f>1695600/36</f>
        <v>47100</v>
      </c>
      <c r="K154" s="21" t="s">
        <v>41</v>
      </c>
      <c r="L154" s="25"/>
      <c r="M154" s="25">
        <v>0.17</v>
      </c>
      <c r="N154" s="22"/>
      <c r="O154" s="23" t="s">
        <v>41</v>
      </c>
      <c r="P154" s="20">
        <f t="shared" si="52"/>
        <v>504</v>
      </c>
      <c r="Q154" s="23" t="s">
        <v>41</v>
      </c>
      <c r="R154" s="24">
        <f t="shared" si="53"/>
        <v>19702872</v>
      </c>
      <c r="S154" s="24">
        <f t="shared" si="44"/>
        <v>17750335.135135133</v>
      </c>
    </row>
    <row r="155" spans="1:19" s="19" customFormat="1">
      <c r="A155" s="18" t="s">
        <v>128</v>
      </c>
      <c r="B155" s="19" t="s">
        <v>25</v>
      </c>
      <c r="C155" s="20"/>
      <c r="D155" s="21" t="s">
        <v>41</v>
      </c>
      <c r="E155" s="26"/>
      <c r="F155" s="22">
        <v>1</v>
      </c>
      <c r="G155" s="23" t="s">
        <v>20</v>
      </c>
      <c r="H155" s="22">
        <v>36</v>
      </c>
      <c r="I155" s="23" t="s">
        <v>41</v>
      </c>
      <c r="J155" s="24">
        <f>1922400/36</f>
        <v>53400</v>
      </c>
      <c r="K155" s="21" t="s">
        <v>41</v>
      </c>
      <c r="L155" s="25"/>
      <c r="M155" s="25">
        <v>0.17</v>
      </c>
      <c r="N155" s="22"/>
      <c r="O155" s="23" t="s">
        <v>41</v>
      </c>
      <c r="P155" s="20">
        <f t="shared" si="52"/>
        <v>0</v>
      </c>
      <c r="Q155" s="23" t="s">
        <v>41</v>
      </c>
      <c r="R155" s="24">
        <f t="shared" si="53"/>
        <v>0</v>
      </c>
      <c r="S155" s="24">
        <f t="shared" si="44"/>
        <v>0</v>
      </c>
    </row>
    <row r="156" spans="1:19" s="19" customFormat="1">
      <c r="A156" s="18" t="s">
        <v>129</v>
      </c>
      <c r="B156" s="19" t="s">
        <v>25</v>
      </c>
      <c r="C156" s="20"/>
      <c r="D156" s="21" t="s">
        <v>41</v>
      </c>
      <c r="E156" s="26">
        <v>7</v>
      </c>
      <c r="F156" s="22">
        <v>1</v>
      </c>
      <c r="G156" s="23" t="s">
        <v>20</v>
      </c>
      <c r="H156" s="22">
        <v>36</v>
      </c>
      <c r="I156" s="23" t="s">
        <v>41</v>
      </c>
      <c r="J156" s="24">
        <f>2052000/36</f>
        <v>57000</v>
      </c>
      <c r="K156" s="21" t="s">
        <v>41</v>
      </c>
      <c r="L156" s="25"/>
      <c r="M156" s="25">
        <v>0.17</v>
      </c>
      <c r="N156" s="22"/>
      <c r="O156" s="23" t="s">
        <v>41</v>
      </c>
      <c r="P156" s="20">
        <f t="shared" si="52"/>
        <v>252</v>
      </c>
      <c r="Q156" s="23" t="s">
        <v>41</v>
      </c>
      <c r="R156" s="24">
        <f t="shared" si="53"/>
        <v>11922120</v>
      </c>
      <c r="S156" s="24">
        <f t="shared" si="44"/>
        <v>10740648.648648648</v>
      </c>
    </row>
    <row r="157" spans="1:19" s="19" customFormat="1">
      <c r="A157" s="18" t="s">
        <v>130</v>
      </c>
      <c r="B157" s="19" t="s">
        <v>25</v>
      </c>
      <c r="C157" s="20"/>
      <c r="D157" s="21" t="s">
        <v>41</v>
      </c>
      <c r="E157" s="26">
        <v>7</v>
      </c>
      <c r="F157" s="22">
        <v>1</v>
      </c>
      <c r="G157" s="23" t="s">
        <v>20</v>
      </c>
      <c r="H157" s="22">
        <v>36</v>
      </c>
      <c r="I157" s="23" t="s">
        <v>41</v>
      </c>
      <c r="J157" s="24">
        <f>2170800/36</f>
        <v>60300</v>
      </c>
      <c r="K157" s="21" t="s">
        <v>41</v>
      </c>
      <c r="L157" s="25"/>
      <c r="M157" s="25">
        <v>0.17</v>
      </c>
      <c r="N157" s="22"/>
      <c r="O157" s="23" t="s">
        <v>41</v>
      </c>
      <c r="P157" s="20">
        <f t="shared" si="52"/>
        <v>252</v>
      </c>
      <c r="Q157" s="23" t="s">
        <v>41</v>
      </c>
      <c r="R157" s="24">
        <f t="shared" si="53"/>
        <v>12612348</v>
      </c>
      <c r="S157" s="24">
        <f t="shared" si="44"/>
        <v>11362475.675675675</v>
      </c>
    </row>
    <row r="158" spans="1:19" s="19" customFormat="1">
      <c r="A158" s="18"/>
      <c r="C158" s="20"/>
      <c r="D158" s="21"/>
      <c r="E158" s="26"/>
      <c r="F158" s="22"/>
      <c r="G158" s="23"/>
      <c r="H158" s="22"/>
      <c r="I158" s="23"/>
      <c r="J158" s="24"/>
      <c r="K158" s="21"/>
      <c r="L158" s="25"/>
      <c r="M158" s="25"/>
      <c r="N158" s="22"/>
      <c r="O158" s="23"/>
      <c r="P158" s="20"/>
      <c r="Q158" s="23"/>
      <c r="R158" s="24"/>
      <c r="S158" s="24"/>
    </row>
    <row r="159" spans="1:19" s="19" customFormat="1">
      <c r="A159" s="88" t="s">
        <v>131</v>
      </c>
      <c r="C159" s="20"/>
      <c r="D159" s="21"/>
      <c r="E159" s="26"/>
      <c r="F159" s="22"/>
      <c r="G159" s="23"/>
      <c r="H159" s="22"/>
      <c r="I159" s="23"/>
      <c r="J159" s="24"/>
      <c r="K159" s="21"/>
      <c r="L159" s="25"/>
      <c r="M159" s="25"/>
      <c r="N159" s="22"/>
      <c r="O159" s="23"/>
      <c r="P159" s="20"/>
      <c r="Q159" s="23"/>
      <c r="R159" s="24"/>
      <c r="S159" s="24"/>
    </row>
    <row r="160" spans="1:19" s="19" customFormat="1">
      <c r="A160" s="18" t="s">
        <v>132</v>
      </c>
      <c r="B160" s="19" t="s">
        <v>18</v>
      </c>
      <c r="C160" s="20"/>
      <c r="D160" s="21" t="s">
        <v>41</v>
      </c>
      <c r="E160" s="26">
        <v>1</v>
      </c>
      <c r="F160" s="22">
        <v>60</v>
      </c>
      <c r="G160" s="23" t="s">
        <v>33</v>
      </c>
      <c r="H160" s="22">
        <v>1</v>
      </c>
      <c r="I160" s="23" t="s">
        <v>41</v>
      </c>
      <c r="J160" s="24">
        <f>4600*12</f>
        <v>55200</v>
      </c>
      <c r="K160" s="21" t="s">
        <v>41</v>
      </c>
      <c r="L160" s="25">
        <v>0.125</v>
      </c>
      <c r="M160" s="25">
        <v>0.05</v>
      </c>
      <c r="N160" s="22"/>
      <c r="O160" s="23" t="s">
        <v>41</v>
      </c>
      <c r="P160" s="20">
        <f t="shared" ref="P160:P174" si="54">(C160+(E160*F160*H160))-N160</f>
        <v>60</v>
      </c>
      <c r="Q160" s="23" t="s">
        <v>41</v>
      </c>
      <c r="R160" s="24">
        <f t="shared" ref="R160:R174" si="55">P160*(J160-(J160*L160)-((J160-(J160*L160))*M160))</f>
        <v>2753100</v>
      </c>
      <c r="S160" s="24">
        <f t="shared" si="44"/>
        <v>2480270.2702702698</v>
      </c>
    </row>
    <row r="161" spans="1:19" s="19" customFormat="1">
      <c r="A161" s="18" t="s">
        <v>133</v>
      </c>
      <c r="B161" s="19" t="s">
        <v>18</v>
      </c>
      <c r="C161" s="20"/>
      <c r="D161" s="21" t="s">
        <v>41</v>
      </c>
      <c r="E161" s="26"/>
      <c r="F161" s="22">
        <v>60</v>
      </c>
      <c r="G161" s="23" t="s">
        <v>33</v>
      </c>
      <c r="H161" s="22">
        <v>1</v>
      </c>
      <c r="I161" s="23" t="s">
        <v>41</v>
      </c>
      <c r="J161" s="24">
        <f>4500*12</f>
        <v>54000</v>
      </c>
      <c r="K161" s="21" t="s">
        <v>41</v>
      </c>
      <c r="L161" s="25">
        <v>0.125</v>
      </c>
      <c r="M161" s="25">
        <v>0.05</v>
      </c>
      <c r="N161" s="22"/>
      <c r="O161" s="23" t="s">
        <v>41</v>
      </c>
      <c r="P161" s="20">
        <f t="shared" si="54"/>
        <v>0</v>
      </c>
      <c r="Q161" s="23" t="s">
        <v>41</v>
      </c>
      <c r="R161" s="24">
        <f t="shared" si="55"/>
        <v>0</v>
      </c>
      <c r="S161" s="24">
        <f t="shared" si="44"/>
        <v>0</v>
      </c>
    </row>
    <row r="162" spans="1:19" s="19" customFormat="1">
      <c r="A162" s="18" t="s">
        <v>700</v>
      </c>
      <c r="B162" s="19" t="s">
        <v>18</v>
      </c>
      <c r="C162" s="20"/>
      <c r="D162" s="21" t="s">
        <v>41</v>
      </c>
      <c r="E162" s="26"/>
      <c r="F162" s="22">
        <v>60</v>
      </c>
      <c r="G162" s="23" t="s">
        <v>33</v>
      </c>
      <c r="H162" s="22">
        <v>1</v>
      </c>
      <c r="I162" s="23" t="s">
        <v>41</v>
      </c>
      <c r="J162" s="24">
        <f>4500*12</f>
        <v>54000</v>
      </c>
      <c r="K162" s="21" t="s">
        <v>41</v>
      </c>
      <c r="L162" s="25">
        <v>0.125</v>
      </c>
      <c r="M162" s="25">
        <v>0.05</v>
      </c>
      <c r="N162" s="22"/>
      <c r="O162" s="23" t="s">
        <v>41</v>
      </c>
      <c r="P162" s="20">
        <f t="shared" si="54"/>
        <v>0</v>
      </c>
      <c r="Q162" s="23" t="s">
        <v>41</v>
      </c>
      <c r="R162" s="24">
        <f t="shared" si="55"/>
        <v>0</v>
      </c>
      <c r="S162" s="24">
        <f t="shared" si="44"/>
        <v>0</v>
      </c>
    </row>
    <row r="163" spans="1:19" s="19" customFormat="1">
      <c r="A163" s="91" t="s">
        <v>134</v>
      </c>
      <c r="B163" s="19" t="s">
        <v>18</v>
      </c>
      <c r="C163" s="20"/>
      <c r="D163" s="21" t="s">
        <v>41</v>
      </c>
      <c r="E163" s="26">
        <v>1</v>
      </c>
      <c r="F163" s="22">
        <v>30</v>
      </c>
      <c r="G163" s="23" t="s">
        <v>33</v>
      </c>
      <c r="H163" s="22">
        <v>1</v>
      </c>
      <c r="I163" s="23" t="s">
        <v>41</v>
      </c>
      <c r="J163" s="94">
        <v>69600</v>
      </c>
      <c r="K163" s="21" t="s">
        <v>41</v>
      </c>
      <c r="L163" s="25">
        <v>0.125</v>
      </c>
      <c r="M163" s="25">
        <v>0.05</v>
      </c>
      <c r="N163" s="22"/>
      <c r="O163" s="23" t="s">
        <v>41</v>
      </c>
      <c r="P163" s="20">
        <f t="shared" ref="P163" si="56">(C163+(E163*F163*H163))-N163</f>
        <v>30</v>
      </c>
      <c r="Q163" s="23" t="s">
        <v>41</v>
      </c>
      <c r="R163" s="24">
        <f t="shared" ref="R163" si="57">P163*(J163-(J163*L163)-((J163-(J163*L163))*M163))</f>
        <v>1735650</v>
      </c>
      <c r="S163" s="24">
        <f t="shared" ref="S163" si="58">R163/1.11</f>
        <v>1563648.6486486485</v>
      </c>
    </row>
    <row r="164" spans="1:19" s="19" customFormat="1">
      <c r="A164" s="18" t="s">
        <v>134</v>
      </c>
      <c r="B164" s="19" t="s">
        <v>18</v>
      </c>
      <c r="C164" s="20"/>
      <c r="D164" s="21" t="s">
        <v>41</v>
      </c>
      <c r="E164" s="26"/>
      <c r="F164" s="22">
        <v>30</v>
      </c>
      <c r="G164" s="23" t="s">
        <v>33</v>
      </c>
      <c r="H164" s="22">
        <v>1</v>
      </c>
      <c r="I164" s="23" t="s">
        <v>41</v>
      </c>
      <c r="J164" s="24">
        <f>5500*12</f>
        <v>66000</v>
      </c>
      <c r="K164" s="21" t="s">
        <v>41</v>
      </c>
      <c r="L164" s="25">
        <v>0.125</v>
      </c>
      <c r="M164" s="25">
        <v>0.05</v>
      </c>
      <c r="N164" s="22"/>
      <c r="O164" s="23" t="s">
        <v>41</v>
      </c>
      <c r="P164" s="20">
        <f t="shared" si="54"/>
        <v>0</v>
      </c>
      <c r="Q164" s="23" t="s">
        <v>41</v>
      </c>
      <c r="R164" s="24">
        <f t="shared" si="55"/>
        <v>0</v>
      </c>
      <c r="S164" s="24">
        <f t="shared" si="44"/>
        <v>0</v>
      </c>
    </row>
    <row r="165" spans="1:19" s="19" customFormat="1">
      <c r="A165" s="91" t="s">
        <v>748</v>
      </c>
      <c r="B165" s="19" t="s">
        <v>18</v>
      </c>
      <c r="C165" s="20"/>
      <c r="D165" s="21" t="s">
        <v>41</v>
      </c>
      <c r="E165" s="26">
        <v>1</v>
      </c>
      <c r="F165" s="22">
        <v>30</v>
      </c>
      <c r="G165" s="23" t="s">
        <v>33</v>
      </c>
      <c r="H165" s="22">
        <v>1</v>
      </c>
      <c r="I165" s="23" t="s">
        <v>41</v>
      </c>
      <c r="J165" s="94">
        <f>11000*12</f>
        <v>132000</v>
      </c>
      <c r="K165" s="21" t="s">
        <v>41</v>
      </c>
      <c r="L165" s="25">
        <v>0.125</v>
      </c>
      <c r="M165" s="25">
        <v>0.05</v>
      </c>
      <c r="N165" s="22"/>
      <c r="O165" s="23" t="s">
        <v>41</v>
      </c>
      <c r="P165" s="20">
        <f t="shared" ref="P165" si="59">(C165+(E165*F165*H165))-N165</f>
        <v>30</v>
      </c>
      <c r="Q165" s="23" t="s">
        <v>41</v>
      </c>
      <c r="R165" s="24">
        <f t="shared" ref="R165" si="60">P165*(J165-(J165*L165)-((J165-(J165*L165))*M165))</f>
        <v>3291750</v>
      </c>
      <c r="S165" s="24">
        <f t="shared" ref="S165" si="61">R165/1.11</f>
        <v>2965540.5405405401</v>
      </c>
    </row>
    <row r="166" spans="1:19" s="19" customFormat="1">
      <c r="A166" s="18" t="s">
        <v>748</v>
      </c>
      <c r="B166" s="19" t="s">
        <v>18</v>
      </c>
      <c r="C166" s="20"/>
      <c r="D166" s="21" t="s">
        <v>41</v>
      </c>
      <c r="E166" s="26"/>
      <c r="F166" s="22">
        <v>30</v>
      </c>
      <c r="G166" s="23" t="s">
        <v>33</v>
      </c>
      <c r="H166" s="22">
        <v>1</v>
      </c>
      <c r="I166" s="23" t="s">
        <v>41</v>
      </c>
      <c r="J166" s="24">
        <f>10500*12</f>
        <v>126000</v>
      </c>
      <c r="K166" s="21" t="s">
        <v>41</v>
      </c>
      <c r="L166" s="25">
        <v>0.125</v>
      </c>
      <c r="M166" s="25">
        <v>0.05</v>
      </c>
      <c r="N166" s="22"/>
      <c r="O166" s="23" t="s">
        <v>41</v>
      </c>
      <c r="P166" s="20">
        <f t="shared" si="54"/>
        <v>0</v>
      </c>
      <c r="Q166" s="23" t="s">
        <v>41</v>
      </c>
      <c r="R166" s="24">
        <f t="shared" si="55"/>
        <v>0</v>
      </c>
      <c r="S166" s="24">
        <f t="shared" si="44"/>
        <v>0</v>
      </c>
    </row>
    <row r="167" spans="1:19" s="19" customFormat="1">
      <c r="A167" s="18" t="s">
        <v>135</v>
      </c>
      <c r="B167" s="19" t="s">
        <v>18</v>
      </c>
      <c r="C167" s="20"/>
      <c r="D167" s="21" t="s">
        <v>41</v>
      </c>
      <c r="E167" s="26">
        <v>10</v>
      </c>
      <c r="F167" s="22">
        <v>60</v>
      </c>
      <c r="G167" s="23" t="s">
        <v>33</v>
      </c>
      <c r="H167" s="22">
        <v>1</v>
      </c>
      <c r="I167" s="23" t="s">
        <v>41</v>
      </c>
      <c r="J167" s="24">
        <f>4800*12</f>
        <v>57600</v>
      </c>
      <c r="K167" s="21" t="s">
        <v>41</v>
      </c>
      <c r="L167" s="25">
        <v>0.125</v>
      </c>
      <c r="M167" s="25">
        <v>0.05</v>
      </c>
      <c r="N167" s="22"/>
      <c r="O167" s="23" t="s">
        <v>41</v>
      </c>
      <c r="P167" s="20">
        <f t="shared" si="54"/>
        <v>600</v>
      </c>
      <c r="Q167" s="23" t="s">
        <v>41</v>
      </c>
      <c r="R167" s="24">
        <f t="shared" si="55"/>
        <v>28728000</v>
      </c>
      <c r="S167" s="24">
        <f t="shared" si="44"/>
        <v>25881081.081081077</v>
      </c>
    </row>
    <row r="168" spans="1:19" s="19" customFormat="1">
      <c r="A168" s="18" t="s">
        <v>136</v>
      </c>
      <c r="B168" s="19" t="s">
        <v>18</v>
      </c>
      <c r="C168" s="20"/>
      <c r="D168" s="21" t="s">
        <v>41</v>
      </c>
      <c r="E168" s="26"/>
      <c r="F168" s="22">
        <v>60</v>
      </c>
      <c r="G168" s="23" t="s">
        <v>33</v>
      </c>
      <c r="H168" s="22">
        <v>1</v>
      </c>
      <c r="I168" s="23" t="s">
        <v>41</v>
      </c>
      <c r="J168" s="24">
        <f>5800*12</f>
        <v>69600</v>
      </c>
      <c r="K168" s="21" t="s">
        <v>41</v>
      </c>
      <c r="L168" s="25">
        <v>0.125</v>
      </c>
      <c r="M168" s="25">
        <v>0.05</v>
      </c>
      <c r="N168" s="22"/>
      <c r="O168" s="23" t="s">
        <v>41</v>
      </c>
      <c r="P168" s="20">
        <f t="shared" si="54"/>
        <v>0</v>
      </c>
      <c r="Q168" s="23" t="s">
        <v>41</v>
      </c>
      <c r="R168" s="24">
        <f t="shared" si="55"/>
        <v>0</v>
      </c>
      <c r="S168" s="24">
        <f t="shared" si="44"/>
        <v>0</v>
      </c>
    </row>
    <row r="169" spans="1:19" s="19" customFormat="1">
      <c r="A169" s="18" t="s">
        <v>137</v>
      </c>
      <c r="B169" s="19" t="s">
        <v>18</v>
      </c>
      <c r="C169" s="20"/>
      <c r="D169" s="21" t="s">
        <v>41</v>
      </c>
      <c r="E169" s="26">
        <v>2</v>
      </c>
      <c r="F169" s="22">
        <v>40</v>
      </c>
      <c r="G169" s="23" t="s">
        <v>33</v>
      </c>
      <c r="H169" s="22">
        <v>1</v>
      </c>
      <c r="I169" s="23" t="s">
        <v>41</v>
      </c>
      <c r="J169" s="24">
        <f>8500*12</f>
        <v>102000</v>
      </c>
      <c r="K169" s="21" t="s">
        <v>41</v>
      </c>
      <c r="L169" s="25">
        <v>0.125</v>
      </c>
      <c r="M169" s="25">
        <v>0.05</v>
      </c>
      <c r="N169" s="22"/>
      <c r="O169" s="23" t="s">
        <v>41</v>
      </c>
      <c r="P169" s="20">
        <f t="shared" si="54"/>
        <v>80</v>
      </c>
      <c r="Q169" s="23" t="s">
        <v>41</v>
      </c>
      <c r="R169" s="24">
        <f t="shared" si="55"/>
        <v>6783000</v>
      </c>
      <c r="S169" s="24">
        <f t="shared" si="44"/>
        <v>6110810.81081081</v>
      </c>
    </row>
    <row r="170" spans="1:19" s="19" customFormat="1">
      <c r="A170" s="18" t="s">
        <v>822</v>
      </c>
      <c r="B170" s="19" t="s">
        <v>18</v>
      </c>
      <c r="C170" s="20"/>
      <c r="D170" s="21" t="s">
        <v>41</v>
      </c>
      <c r="E170" s="26"/>
      <c r="F170" s="22">
        <v>60</v>
      </c>
      <c r="G170" s="23" t="s">
        <v>33</v>
      </c>
      <c r="H170" s="22">
        <v>1</v>
      </c>
      <c r="I170" s="23" t="s">
        <v>41</v>
      </c>
      <c r="J170" s="24">
        <f>5800*12</f>
        <v>69600</v>
      </c>
      <c r="K170" s="21" t="s">
        <v>41</v>
      </c>
      <c r="L170" s="25">
        <v>0.125</v>
      </c>
      <c r="M170" s="25">
        <v>0.05</v>
      </c>
      <c r="N170" s="22"/>
      <c r="O170" s="23" t="s">
        <v>41</v>
      </c>
      <c r="P170" s="20">
        <f t="shared" si="54"/>
        <v>0</v>
      </c>
      <c r="Q170" s="23" t="s">
        <v>41</v>
      </c>
      <c r="R170" s="24">
        <f t="shared" si="55"/>
        <v>0</v>
      </c>
      <c r="S170" s="24">
        <f t="shared" si="44"/>
        <v>0</v>
      </c>
    </row>
    <row r="171" spans="1:19" s="19" customFormat="1">
      <c r="A171" s="18" t="s">
        <v>138</v>
      </c>
      <c r="B171" s="19" t="s">
        <v>18</v>
      </c>
      <c r="C171" s="20"/>
      <c r="D171" s="21" t="s">
        <v>41</v>
      </c>
      <c r="E171" s="26"/>
      <c r="F171" s="22">
        <v>40</v>
      </c>
      <c r="G171" s="23" t="s">
        <v>33</v>
      </c>
      <c r="H171" s="22">
        <v>1</v>
      </c>
      <c r="I171" s="23" t="s">
        <v>41</v>
      </c>
      <c r="J171" s="24">
        <f>8800*12</f>
        <v>105600</v>
      </c>
      <c r="K171" s="21" t="s">
        <v>41</v>
      </c>
      <c r="L171" s="25">
        <v>0.125</v>
      </c>
      <c r="M171" s="25">
        <v>0.05</v>
      </c>
      <c r="N171" s="22"/>
      <c r="O171" s="23" t="s">
        <v>41</v>
      </c>
      <c r="P171" s="20">
        <f t="shared" si="54"/>
        <v>0</v>
      </c>
      <c r="Q171" s="23" t="s">
        <v>41</v>
      </c>
      <c r="R171" s="24">
        <f t="shared" si="55"/>
        <v>0</v>
      </c>
      <c r="S171" s="24">
        <f t="shared" si="44"/>
        <v>0</v>
      </c>
    </row>
    <row r="172" spans="1:19" s="19" customFormat="1">
      <c r="A172" s="91" t="s">
        <v>849</v>
      </c>
      <c r="B172" s="19" t="s">
        <v>18</v>
      </c>
      <c r="C172" s="20"/>
      <c r="D172" s="21" t="s">
        <v>41</v>
      </c>
      <c r="E172" s="26">
        <v>1</v>
      </c>
      <c r="F172" s="22">
        <v>30</v>
      </c>
      <c r="G172" s="23" t="s">
        <v>33</v>
      </c>
      <c r="H172" s="22">
        <v>1</v>
      </c>
      <c r="I172" s="23" t="s">
        <v>41</v>
      </c>
      <c r="J172" s="24">
        <f>10000*12</f>
        <v>120000</v>
      </c>
      <c r="K172" s="21" t="s">
        <v>41</v>
      </c>
      <c r="L172" s="25">
        <v>0.125</v>
      </c>
      <c r="M172" s="25">
        <v>0.05</v>
      </c>
      <c r="N172" s="22"/>
      <c r="O172" s="23" t="s">
        <v>41</v>
      </c>
      <c r="P172" s="20">
        <f t="shared" si="54"/>
        <v>30</v>
      </c>
      <c r="Q172" s="23" t="s">
        <v>41</v>
      </c>
      <c r="R172" s="24">
        <f t="shared" si="55"/>
        <v>2992500</v>
      </c>
      <c r="S172" s="24">
        <f t="shared" si="44"/>
        <v>2695945.9459459456</v>
      </c>
    </row>
    <row r="173" spans="1:19" s="19" customFormat="1">
      <c r="A173" s="18" t="s">
        <v>823</v>
      </c>
      <c r="B173" s="19" t="s">
        <v>18</v>
      </c>
      <c r="C173" s="20"/>
      <c r="D173" s="21" t="s">
        <v>41</v>
      </c>
      <c r="E173" s="26"/>
      <c r="F173" s="22">
        <v>1</v>
      </c>
      <c r="G173" s="23" t="s">
        <v>20</v>
      </c>
      <c r="H173" s="22">
        <f>360/12</f>
        <v>30</v>
      </c>
      <c r="I173" s="23" t="s">
        <v>41</v>
      </c>
      <c r="J173" s="24">
        <f>4800*12</f>
        <v>57600</v>
      </c>
      <c r="K173" s="21" t="s">
        <v>41</v>
      </c>
      <c r="L173" s="25">
        <v>0.125</v>
      </c>
      <c r="M173" s="25">
        <v>0.05</v>
      </c>
      <c r="N173" s="22"/>
      <c r="O173" s="23" t="s">
        <v>41</v>
      </c>
      <c r="P173" s="20">
        <f t="shared" si="54"/>
        <v>0</v>
      </c>
      <c r="Q173" s="23" t="s">
        <v>41</v>
      </c>
      <c r="R173" s="24">
        <f t="shared" si="55"/>
        <v>0</v>
      </c>
      <c r="S173" s="24">
        <f t="shared" si="44"/>
        <v>0</v>
      </c>
    </row>
    <row r="174" spans="1:19" s="19" customFormat="1">
      <c r="A174" s="18" t="s">
        <v>824</v>
      </c>
      <c r="B174" s="19" t="s">
        <v>18</v>
      </c>
      <c r="C174" s="20"/>
      <c r="D174" s="21" t="s">
        <v>41</v>
      </c>
      <c r="E174" s="26"/>
      <c r="F174" s="22">
        <v>60</v>
      </c>
      <c r="G174" s="23" t="s">
        <v>33</v>
      </c>
      <c r="H174" s="22">
        <f>360/12</f>
        <v>30</v>
      </c>
      <c r="I174" s="23" t="s">
        <v>41</v>
      </c>
      <c r="J174" s="24">
        <f>6000*12</f>
        <v>72000</v>
      </c>
      <c r="K174" s="21" t="s">
        <v>41</v>
      </c>
      <c r="L174" s="25">
        <v>0.125</v>
      </c>
      <c r="M174" s="25">
        <v>0.05</v>
      </c>
      <c r="N174" s="22"/>
      <c r="O174" s="23" t="s">
        <v>41</v>
      </c>
      <c r="P174" s="20">
        <f t="shared" si="54"/>
        <v>0</v>
      </c>
      <c r="Q174" s="23" t="s">
        <v>41</v>
      </c>
      <c r="R174" s="24">
        <f t="shared" si="55"/>
        <v>0</v>
      </c>
      <c r="S174" s="24">
        <f t="shared" si="44"/>
        <v>0</v>
      </c>
    </row>
    <row r="175" spans="1:19" s="19" customFormat="1">
      <c r="A175" s="18"/>
      <c r="C175" s="20"/>
      <c r="D175" s="21"/>
      <c r="E175" s="26"/>
      <c r="F175" s="22"/>
      <c r="G175" s="23"/>
      <c r="H175" s="22"/>
      <c r="I175" s="23"/>
      <c r="J175" s="24"/>
      <c r="K175" s="21"/>
      <c r="L175" s="25"/>
      <c r="M175" s="25"/>
      <c r="N175" s="22"/>
      <c r="O175" s="23"/>
      <c r="P175" s="20"/>
      <c r="Q175" s="23"/>
      <c r="R175" s="24"/>
      <c r="S175" s="24"/>
    </row>
    <row r="176" spans="1:19" s="19" customFormat="1">
      <c r="A176" s="18" t="s">
        <v>139</v>
      </c>
      <c r="B176" s="19" t="s">
        <v>25</v>
      </c>
      <c r="C176" s="20"/>
      <c r="D176" s="21" t="s">
        <v>41</v>
      </c>
      <c r="E176" s="26"/>
      <c r="F176" s="22">
        <v>1</v>
      </c>
      <c r="G176" s="23" t="s">
        <v>20</v>
      </c>
      <c r="H176" s="22">
        <v>36</v>
      </c>
      <c r="I176" s="23" t="s">
        <v>41</v>
      </c>
      <c r="J176" s="24">
        <f>2095200/36</f>
        <v>58200</v>
      </c>
      <c r="K176" s="21" t="s">
        <v>41</v>
      </c>
      <c r="L176" s="25"/>
      <c r="M176" s="25">
        <v>0.17</v>
      </c>
      <c r="N176" s="22"/>
      <c r="O176" s="23" t="s">
        <v>41</v>
      </c>
      <c r="P176" s="20">
        <f t="shared" ref="P176:P197" si="62">(C176+(E176*F176*H176))-N176</f>
        <v>0</v>
      </c>
      <c r="Q176" s="23" t="s">
        <v>41</v>
      </c>
      <c r="R176" s="24">
        <f t="shared" ref="R176:R197" si="63">P176*(J176-(J176*L176)-((J176-(J176*L176))*M176))</f>
        <v>0</v>
      </c>
      <c r="S176" s="24">
        <f t="shared" si="44"/>
        <v>0</v>
      </c>
    </row>
    <row r="177" spans="1:19" s="19" customFormat="1">
      <c r="A177" s="18" t="s">
        <v>780</v>
      </c>
      <c r="B177" s="19" t="s">
        <v>25</v>
      </c>
      <c r="C177" s="20"/>
      <c r="D177" s="21" t="s">
        <v>41</v>
      </c>
      <c r="E177" s="26"/>
      <c r="F177" s="22">
        <v>1</v>
      </c>
      <c r="G177" s="23" t="s">
        <v>20</v>
      </c>
      <c r="H177" s="22">
        <v>36</v>
      </c>
      <c r="I177" s="23" t="s">
        <v>41</v>
      </c>
      <c r="J177" s="24">
        <f>2116800/36</f>
        <v>58800</v>
      </c>
      <c r="K177" s="21" t="s">
        <v>41</v>
      </c>
      <c r="L177" s="25"/>
      <c r="M177" s="25">
        <v>0.17</v>
      </c>
      <c r="N177" s="22"/>
      <c r="O177" s="23" t="s">
        <v>41</v>
      </c>
      <c r="P177" s="20">
        <f t="shared" si="62"/>
        <v>0</v>
      </c>
      <c r="Q177" s="23" t="s">
        <v>41</v>
      </c>
      <c r="R177" s="24">
        <f t="shared" si="63"/>
        <v>0</v>
      </c>
      <c r="S177" s="24">
        <f t="shared" si="44"/>
        <v>0</v>
      </c>
    </row>
    <row r="178" spans="1:19" s="19" customFormat="1">
      <c r="A178" s="18" t="s">
        <v>140</v>
      </c>
      <c r="B178" s="19" t="s">
        <v>25</v>
      </c>
      <c r="C178" s="20"/>
      <c r="D178" s="21" t="s">
        <v>41</v>
      </c>
      <c r="E178" s="26"/>
      <c r="F178" s="22">
        <v>1</v>
      </c>
      <c r="G178" s="23" t="s">
        <v>20</v>
      </c>
      <c r="H178" s="22">
        <v>48</v>
      </c>
      <c r="I178" s="23" t="s">
        <v>41</v>
      </c>
      <c r="J178" s="24">
        <f>2995200/48</f>
        <v>62400</v>
      </c>
      <c r="K178" s="21" t="s">
        <v>41</v>
      </c>
      <c r="L178" s="25"/>
      <c r="M178" s="25">
        <v>0.17</v>
      </c>
      <c r="N178" s="22"/>
      <c r="O178" s="23" t="s">
        <v>41</v>
      </c>
      <c r="P178" s="20">
        <f t="shared" si="62"/>
        <v>0</v>
      </c>
      <c r="Q178" s="23" t="s">
        <v>41</v>
      </c>
      <c r="R178" s="24">
        <f t="shared" si="63"/>
        <v>0</v>
      </c>
      <c r="S178" s="24">
        <f t="shared" si="44"/>
        <v>0</v>
      </c>
    </row>
    <row r="179" spans="1:19" s="19" customFormat="1">
      <c r="A179" s="18" t="s">
        <v>141</v>
      </c>
      <c r="B179" s="19" t="s">
        <v>25</v>
      </c>
      <c r="C179" s="20"/>
      <c r="D179" s="21" t="s">
        <v>41</v>
      </c>
      <c r="E179" s="26"/>
      <c r="F179" s="22">
        <v>1</v>
      </c>
      <c r="G179" s="23" t="s">
        <v>20</v>
      </c>
      <c r="H179" s="22">
        <v>48</v>
      </c>
      <c r="I179" s="23" t="s">
        <v>41</v>
      </c>
      <c r="J179" s="24">
        <f>3916800/48</f>
        <v>81600</v>
      </c>
      <c r="K179" s="21" t="s">
        <v>41</v>
      </c>
      <c r="L179" s="25"/>
      <c r="M179" s="25">
        <v>0.17</v>
      </c>
      <c r="N179" s="22"/>
      <c r="O179" s="23" t="s">
        <v>41</v>
      </c>
      <c r="P179" s="20">
        <f t="shared" si="62"/>
        <v>0</v>
      </c>
      <c r="Q179" s="23" t="s">
        <v>41</v>
      </c>
      <c r="R179" s="24">
        <f t="shared" si="63"/>
        <v>0</v>
      </c>
      <c r="S179" s="24">
        <f t="shared" si="44"/>
        <v>0</v>
      </c>
    </row>
    <row r="180" spans="1:19" s="19" customFormat="1">
      <c r="A180" s="18" t="s">
        <v>779</v>
      </c>
      <c r="B180" s="19" t="s">
        <v>25</v>
      </c>
      <c r="C180" s="20"/>
      <c r="D180" s="21" t="s">
        <v>41</v>
      </c>
      <c r="E180" s="26"/>
      <c r="F180" s="22">
        <v>1</v>
      </c>
      <c r="G180" s="23" t="s">
        <v>20</v>
      </c>
      <c r="H180" s="22">
        <v>48</v>
      </c>
      <c r="I180" s="23" t="s">
        <v>41</v>
      </c>
      <c r="J180" s="24">
        <f>4032000/48</f>
        <v>84000</v>
      </c>
      <c r="K180" s="21" t="s">
        <v>41</v>
      </c>
      <c r="L180" s="25"/>
      <c r="M180" s="25">
        <v>0.17</v>
      </c>
      <c r="N180" s="22"/>
      <c r="O180" s="23" t="s">
        <v>41</v>
      </c>
      <c r="P180" s="20">
        <f t="shared" si="62"/>
        <v>0</v>
      </c>
      <c r="Q180" s="23" t="s">
        <v>41</v>
      </c>
      <c r="R180" s="24">
        <f t="shared" si="63"/>
        <v>0</v>
      </c>
      <c r="S180" s="24">
        <f t="shared" si="44"/>
        <v>0</v>
      </c>
    </row>
    <row r="181" spans="1:19" s="19" customFormat="1">
      <c r="A181" s="18" t="s">
        <v>142</v>
      </c>
      <c r="B181" s="19" t="s">
        <v>25</v>
      </c>
      <c r="C181" s="20"/>
      <c r="D181" s="21" t="s">
        <v>41</v>
      </c>
      <c r="E181" s="26"/>
      <c r="F181" s="22">
        <v>1</v>
      </c>
      <c r="G181" s="23" t="s">
        <v>20</v>
      </c>
      <c r="H181" s="22">
        <v>48</v>
      </c>
      <c r="I181" s="23" t="s">
        <v>41</v>
      </c>
      <c r="J181" s="24">
        <f>5100*12</f>
        <v>61200</v>
      </c>
      <c r="K181" s="21" t="s">
        <v>41</v>
      </c>
      <c r="L181" s="25"/>
      <c r="M181" s="25">
        <v>0.17</v>
      </c>
      <c r="N181" s="22"/>
      <c r="O181" s="23" t="s">
        <v>41</v>
      </c>
      <c r="P181" s="20">
        <f t="shared" si="62"/>
        <v>0</v>
      </c>
      <c r="Q181" s="23" t="s">
        <v>41</v>
      </c>
      <c r="R181" s="24">
        <f t="shared" si="63"/>
        <v>0</v>
      </c>
      <c r="S181" s="24">
        <f t="shared" si="44"/>
        <v>0</v>
      </c>
    </row>
    <row r="182" spans="1:19" s="19" customFormat="1">
      <c r="A182" s="18" t="s">
        <v>143</v>
      </c>
      <c r="B182" s="19" t="s">
        <v>25</v>
      </c>
      <c r="C182" s="20"/>
      <c r="D182" s="21" t="s">
        <v>41</v>
      </c>
      <c r="E182" s="26"/>
      <c r="F182" s="22">
        <v>1</v>
      </c>
      <c r="G182" s="23" t="s">
        <v>20</v>
      </c>
      <c r="H182" s="22">
        <v>48</v>
      </c>
      <c r="I182" s="23" t="s">
        <v>41</v>
      </c>
      <c r="J182" s="24">
        <f>4250*12</f>
        <v>51000</v>
      </c>
      <c r="K182" s="21" t="s">
        <v>41</v>
      </c>
      <c r="L182" s="25"/>
      <c r="M182" s="25">
        <v>0.17</v>
      </c>
      <c r="N182" s="22"/>
      <c r="O182" s="23" t="s">
        <v>41</v>
      </c>
      <c r="P182" s="20">
        <f t="shared" si="62"/>
        <v>0</v>
      </c>
      <c r="Q182" s="23" t="s">
        <v>41</v>
      </c>
      <c r="R182" s="24">
        <f t="shared" si="63"/>
        <v>0</v>
      </c>
      <c r="S182" s="24">
        <f t="shared" si="44"/>
        <v>0</v>
      </c>
    </row>
    <row r="183" spans="1:19" s="19" customFormat="1">
      <c r="A183" s="18" t="s">
        <v>144</v>
      </c>
      <c r="B183" s="19" t="s">
        <v>25</v>
      </c>
      <c r="C183" s="20"/>
      <c r="D183" s="21" t="s">
        <v>41</v>
      </c>
      <c r="E183" s="26"/>
      <c r="F183" s="22">
        <v>1</v>
      </c>
      <c r="G183" s="23" t="s">
        <v>20</v>
      </c>
      <c r="H183" s="22">
        <v>48</v>
      </c>
      <c r="I183" s="23" t="s">
        <v>41</v>
      </c>
      <c r="J183" s="24">
        <f>2592000/48</f>
        <v>54000</v>
      </c>
      <c r="K183" s="21" t="s">
        <v>41</v>
      </c>
      <c r="L183" s="25"/>
      <c r="M183" s="25">
        <v>0.17</v>
      </c>
      <c r="N183" s="22"/>
      <c r="O183" s="23" t="s">
        <v>41</v>
      </c>
      <c r="P183" s="20">
        <f t="shared" si="62"/>
        <v>0</v>
      </c>
      <c r="Q183" s="23" t="s">
        <v>41</v>
      </c>
      <c r="R183" s="24">
        <f t="shared" si="63"/>
        <v>0</v>
      </c>
      <c r="S183" s="24">
        <f t="shared" si="44"/>
        <v>0</v>
      </c>
    </row>
    <row r="184" spans="1:19" s="19" customFormat="1">
      <c r="A184" s="18" t="s">
        <v>145</v>
      </c>
      <c r="B184" s="19" t="s">
        <v>25</v>
      </c>
      <c r="C184" s="20"/>
      <c r="D184" s="21" t="s">
        <v>41</v>
      </c>
      <c r="E184" s="26">
        <v>3</v>
      </c>
      <c r="F184" s="22">
        <v>1</v>
      </c>
      <c r="G184" s="23" t="s">
        <v>20</v>
      </c>
      <c r="H184" s="22">
        <v>48</v>
      </c>
      <c r="I184" s="23" t="s">
        <v>41</v>
      </c>
      <c r="J184" s="24">
        <f>2448000/48</f>
        <v>51000</v>
      </c>
      <c r="K184" s="21" t="s">
        <v>41</v>
      </c>
      <c r="L184" s="25"/>
      <c r="M184" s="25">
        <v>0.17</v>
      </c>
      <c r="N184" s="22"/>
      <c r="O184" s="23" t="s">
        <v>41</v>
      </c>
      <c r="P184" s="20">
        <f t="shared" si="62"/>
        <v>144</v>
      </c>
      <c r="Q184" s="23" t="s">
        <v>41</v>
      </c>
      <c r="R184" s="24">
        <f t="shared" si="63"/>
        <v>6095520</v>
      </c>
      <c r="S184" s="24">
        <f t="shared" si="44"/>
        <v>5491459.4594594594</v>
      </c>
    </row>
    <row r="185" spans="1:19" s="19" customFormat="1">
      <c r="A185" s="18" t="s">
        <v>146</v>
      </c>
      <c r="B185" s="19" t="s">
        <v>25</v>
      </c>
      <c r="C185" s="20"/>
      <c r="D185" s="21" t="s">
        <v>41</v>
      </c>
      <c r="E185" s="26"/>
      <c r="F185" s="22">
        <v>1</v>
      </c>
      <c r="G185" s="23" t="s">
        <v>20</v>
      </c>
      <c r="H185" s="22">
        <v>24</v>
      </c>
      <c r="I185" s="23" t="s">
        <v>41</v>
      </c>
      <c r="J185" s="24">
        <f>2491200/24</f>
        <v>103800</v>
      </c>
      <c r="K185" s="21" t="s">
        <v>41</v>
      </c>
      <c r="L185" s="25"/>
      <c r="M185" s="25">
        <v>0.17</v>
      </c>
      <c r="N185" s="22"/>
      <c r="O185" s="23" t="s">
        <v>41</v>
      </c>
      <c r="P185" s="20">
        <f t="shared" si="62"/>
        <v>0</v>
      </c>
      <c r="Q185" s="23" t="s">
        <v>41</v>
      </c>
      <c r="R185" s="24">
        <f t="shared" si="63"/>
        <v>0</v>
      </c>
      <c r="S185" s="24">
        <f t="shared" ref="S185:S277" si="64">R185/1.11</f>
        <v>0</v>
      </c>
    </row>
    <row r="186" spans="1:19" s="19" customFormat="1">
      <c r="A186" s="18" t="s">
        <v>147</v>
      </c>
      <c r="B186" s="19" t="s">
        <v>25</v>
      </c>
      <c r="C186" s="20"/>
      <c r="D186" s="21" t="s">
        <v>41</v>
      </c>
      <c r="E186" s="26"/>
      <c r="F186" s="22">
        <v>1</v>
      </c>
      <c r="G186" s="23" t="s">
        <v>20</v>
      </c>
      <c r="H186" s="22">
        <v>36</v>
      </c>
      <c r="I186" s="23" t="s">
        <v>41</v>
      </c>
      <c r="J186" s="24">
        <f>3736800/36</f>
        <v>103800</v>
      </c>
      <c r="K186" s="21" t="s">
        <v>41</v>
      </c>
      <c r="L186" s="25"/>
      <c r="M186" s="25">
        <v>0.17</v>
      </c>
      <c r="N186" s="22"/>
      <c r="O186" s="23" t="s">
        <v>41</v>
      </c>
      <c r="P186" s="20">
        <f t="shared" si="62"/>
        <v>0</v>
      </c>
      <c r="Q186" s="23" t="s">
        <v>41</v>
      </c>
      <c r="R186" s="24">
        <f t="shared" si="63"/>
        <v>0</v>
      </c>
      <c r="S186" s="24">
        <f t="shared" si="64"/>
        <v>0</v>
      </c>
    </row>
    <row r="187" spans="1:19" s="19" customFormat="1">
      <c r="A187" s="18" t="s">
        <v>148</v>
      </c>
      <c r="B187" s="19" t="s">
        <v>25</v>
      </c>
      <c r="C187" s="20"/>
      <c r="D187" s="21" t="s">
        <v>41</v>
      </c>
      <c r="E187" s="26"/>
      <c r="F187" s="22">
        <v>1</v>
      </c>
      <c r="G187" s="23" t="s">
        <v>20</v>
      </c>
      <c r="H187" s="22">
        <v>48</v>
      </c>
      <c r="I187" s="23" t="s">
        <v>41</v>
      </c>
      <c r="J187" s="24">
        <f>2592000/48</f>
        <v>54000</v>
      </c>
      <c r="K187" s="21" t="s">
        <v>41</v>
      </c>
      <c r="L187" s="25"/>
      <c r="M187" s="25">
        <v>0.17</v>
      </c>
      <c r="N187" s="22"/>
      <c r="O187" s="23" t="s">
        <v>41</v>
      </c>
      <c r="P187" s="20">
        <f t="shared" si="62"/>
        <v>0</v>
      </c>
      <c r="Q187" s="23" t="s">
        <v>41</v>
      </c>
      <c r="R187" s="24">
        <f t="shared" si="63"/>
        <v>0</v>
      </c>
      <c r="S187" s="24">
        <f t="shared" si="64"/>
        <v>0</v>
      </c>
    </row>
    <row r="188" spans="1:19" s="19" customFormat="1">
      <c r="A188" s="18" t="s">
        <v>149</v>
      </c>
      <c r="B188" s="19" t="s">
        <v>25</v>
      </c>
      <c r="C188" s="20"/>
      <c r="D188" s="21" t="s">
        <v>41</v>
      </c>
      <c r="E188" s="26">
        <v>7</v>
      </c>
      <c r="F188" s="22">
        <v>1</v>
      </c>
      <c r="G188" s="23" t="s">
        <v>20</v>
      </c>
      <c r="H188" s="22">
        <v>48</v>
      </c>
      <c r="I188" s="23" t="s">
        <v>41</v>
      </c>
      <c r="J188" s="24">
        <f>2880000/48</f>
        <v>60000</v>
      </c>
      <c r="K188" s="21" t="s">
        <v>41</v>
      </c>
      <c r="L188" s="25"/>
      <c r="M188" s="25">
        <v>0.17</v>
      </c>
      <c r="N188" s="22"/>
      <c r="O188" s="23" t="s">
        <v>41</v>
      </c>
      <c r="P188" s="20">
        <f t="shared" si="62"/>
        <v>336</v>
      </c>
      <c r="Q188" s="23" t="s">
        <v>41</v>
      </c>
      <c r="R188" s="24">
        <f t="shared" si="63"/>
        <v>16732800</v>
      </c>
      <c r="S188" s="24">
        <f t="shared" si="64"/>
        <v>15074594.594594594</v>
      </c>
    </row>
    <row r="189" spans="1:19" s="19" customFormat="1">
      <c r="A189" s="18" t="s">
        <v>150</v>
      </c>
      <c r="B189" s="19" t="s">
        <v>25</v>
      </c>
      <c r="C189" s="20"/>
      <c r="D189" s="21" t="s">
        <v>41</v>
      </c>
      <c r="E189" s="26"/>
      <c r="F189" s="22">
        <v>1</v>
      </c>
      <c r="G189" s="23" t="s">
        <v>20</v>
      </c>
      <c r="H189" s="22">
        <v>48</v>
      </c>
      <c r="I189" s="23" t="s">
        <v>41</v>
      </c>
      <c r="J189" s="24">
        <f>2880000/48</f>
        <v>60000</v>
      </c>
      <c r="K189" s="21" t="s">
        <v>41</v>
      </c>
      <c r="L189" s="25"/>
      <c r="M189" s="25">
        <v>0.17</v>
      </c>
      <c r="N189" s="22"/>
      <c r="O189" s="23" t="s">
        <v>41</v>
      </c>
      <c r="P189" s="20">
        <f t="shared" si="62"/>
        <v>0</v>
      </c>
      <c r="Q189" s="23" t="s">
        <v>41</v>
      </c>
      <c r="R189" s="24">
        <f t="shared" si="63"/>
        <v>0</v>
      </c>
      <c r="S189" s="24">
        <f t="shared" si="64"/>
        <v>0</v>
      </c>
    </row>
    <row r="190" spans="1:19" s="19" customFormat="1">
      <c r="A190" s="18" t="s">
        <v>151</v>
      </c>
      <c r="B190" s="19" t="s">
        <v>25</v>
      </c>
      <c r="C190" s="20"/>
      <c r="D190" s="21" t="s">
        <v>41</v>
      </c>
      <c r="E190" s="26"/>
      <c r="F190" s="22">
        <v>1</v>
      </c>
      <c r="G190" s="23" t="s">
        <v>20</v>
      </c>
      <c r="H190" s="22">
        <v>48</v>
      </c>
      <c r="I190" s="23" t="s">
        <v>41</v>
      </c>
      <c r="J190" s="24">
        <f>2736000/48</f>
        <v>57000</v>
      </c>
      <c r="K190" s="21" t="s">
        <v>41</v>
      </c>
      <c r="L190" s="25"/>
      <c r="M190" s="25">
        <v>0.17</v>
      </c>
      <c r="N190" s="22"/>
      <c r="O190" s="23" t="s">
        <v>41</v>
      </c>
      <c r="P190" s="20">
        <f t="shared" si="62"/>
        <v>0</v>
      </c>
      <c r="Q190" s="23" t="s">
        <v>41</v>
      </c>
      <c r="R190" s="24">
        <f t="shared" si="63"/>
        <v>0</v>
      </c>
      <c r="S190" s="24">
        <f t="shared" si="64"/>
        <v>0</v>
      </c>
    </row>
    <row r="191" spans="1:19" s="19" customFormat="1">
      <c r="A191" s="18" t="s">
        <v>152</v>
      </c>
      <c r="B191" s="19" t="s">
        <v>25</v>
      </c>
      <c r="C191" s="20"/>
      <c r="D191" s="21" t="s">
        <v>41</v>
      </c>
      <c r="E191" s="26">
        <v>3</v>
      </c>
      <c r="F191" s="22">
        <v>1</v>
      </c>
      <c r="G191" s="23" t="s">
        <v>20</v>
      </c>
      <c r="H191" s="22">
        <v>48</v>
      </c>
      <c r="I191" s="23" t="s">
        <v>41</v>
      </c>
      <c r="J191" s="24">
        <f>3024000/48</f>
        <v>63000</v>
      </c>
      <c r="K191" s="21" t="s">
        <v>41</v>
      </c>
      <c r="L191" s="25"/>
      <c r="M191" s="25">
        <v>0.17</v>
      </c>
      <c r="N191" s="22"/>
      <c r="O191" s="23" t="s">
        <v>41</v>
      </c>
      <c r="P191" s="20">
        <f t="shared" si="62"/>
        <v>144</v>
      </c>
      <c r="Q191" s="23" t="s">
        <v>41</v>
      </c>
      <c r="R191" s="24">
        <f t="shared" si="63"/>
        <v>7529760</v>
      </c>
      <c r="S191" s="24">
        <f t="shared" si="64"/>
        <v>6783567.5675675673</v>
      </c>
    </row>
    <row r="192" spans="1:19" s="19" customFormat="1">
      <c r="A192" s="18" t="s">
        <v>153</v>
      </c>
      <c r="B192" s="19" t="s">
        <v>25</v>
      </c>
      <c r="C192" s="20"/>
      <c r="D192" s="21" t="s">
        <v>41</v>
      </c>
      <c r="E192" s="26"/>
      <c r="F192" s="22">
        <v>1</v>
      </c>
      <c r="G192" s="23" t="s">
        <v>20</v>
      </c>
      <c r="H192" s="22">
        <v>48</v>
      </c>
      <c r="I192" s="23" t="s">
        <v>41</v>
      </c>
      <c r="J192" s="24">
        <f>2995200/48</f>
        <v>62400</v>
      </c>
      <c r="K192" s="21" t="s">
        <v>41</v>
      </c>
      <c r="L192" s="25"/>
      <c r="M192" s="25">
        <v>0.17</v>
      </c>
      <c r="N192" s="22"/>
      <c r="O192" s="23" t="s">
        <v>41</v>
      </c>
      <c r="P192" s="20">
        <f t="shared" si="62"/>
        <v>0</v>
      </c>
      <c r="Q192" s="23" t="s">
        <v>41</v>
      </c>
      <c r="R192" s="24">
        <f t="shared" si="63"/>
        <v>0</v>
      </c>
      <c r="S192" s="24">
        <f t="shared" si="64"/>
        <v>0</v>
      </c>
    </row>
    <row r="193" spans="1:19" s="19" customFormat="1">
      <c r="A193" s="18" t="s">
        <v>154</v>
      </c>
      <c r="B193" s="19" t="s">
        <v>25</v>
      </c>
      <c r="C193" s="20"/>
      <c r="D193" s="21" t="s">
        <v>41</v>
      </c>
      <c r="E193" s="26">
        <v>1</v>
      </c>
      <c r="F193" s="22">
        <v>1</v>
      </c>
      <c r="G193" s="23" t="s">
        <v>20</v>
      </c>
      <c r="H193" s="22">
        <v>48</v>
      </c>
      <c r="I193" s="23" t="s">
        <v>41</v>
      </c>
      <c r="J193" s="24">
        <f>2995200/48</f>
        <v>62400</v>
      </c>
      <c r="K193" s="21" t="s">
        <v>41</v>
      </c>
      <c r="L193" s="25"/>
      <c r="M193" s="25">
        <v>0.17</v>
      </c>
      <c r="N193" s="22"/>
      <c r="O193" s="23" t="s">
        <v>41</v>
      </c>
      <c r="P193" s="20">
        <f t="shared" si="62"/>
        <v>48</v>
      </c>
      <c r="Q193" s="23" t="s">
        <v>41</v>
      </c>
      <c r="R193" s="24">
        <f t="shared" si="63"/>
        <v>2486016</v>
      </c>
      <c r="S193" s="24">
        <f t="shared" si="64"/>
        <v>2239654.054054054</v>
      </c>
    </row>
    <row r="194" spans="1:19" s="19" customFormat="1">
      <c r="A194" s="91" t="s">
        <v>857</v>
      </c>
      <c r="B194" s="19" t="s">
        <v>25</v>
      </c>
      <c r="C194" s="20"/>
      <c r="D194" s="21" t="s">
        <v>41</v>
      </c>
      <c r="E194" s="26">
        <v>5</v>
      </c>
      <c r="F194" s="22">
        <v>1</v>
      </c>
      <c r="G194" s="23" t="s">
        <v>20</v>
      </c>
      <c r="H194" s="22">
        <v>48</v>
      </c>
      <c r="I194" s="23" t="s">
        <v>41</v>
      </c>
      <c r="J194" s="24">
        <v>60000</v>
      </c>
      <c r="K194" s="21" t="s">
        <v>41</v>
      </c>
      <c r="L194" s="25"/>
      <c r="M194" s="25">
        <v>0.17</v>
      </c>
      <c r="N194" s="22"/>
      <c r="O194" s="23" t="s">
        <v>41</v>
      </c>
      <c r="P194" s="20">
        <f t="shared" si="62"/>
        <v>240</v>
      </c>
      <c r="Q194" s="23" t="s">
        <v>41</v>
      </c>
      <c r="R194" s="24">
        <f t="shared" ref="R194" si="65">P194*(J194-(J194*L194)-((J194-(J194*L194))*M194))</f>
        <v>11952000</v>
      </c>
      <c r="S194" s="24">
        <f t="shared" ref="S194" si="66">R194/1.11</f>
        <v>10767567.567567566</v>
      </c>
    </row>
    <row r="195" spans="1:19" s="19" customFormat="1">
      <c r="A195" s="91" t="s">
        <v>856</v>
      </c>
      <c r="B195" s="19" t="s">
        <v>25</v>
      </c>
      <c r="C195" s="20"/>
      <c r="D195" s="21" t="s">
        <v>41</v>
      </c>
      <c r="E195" s="26">
        <v>3</v>
      </c>
      <c r="F195" s="22">
        <v>1</v>
      </c>
      <c r="G195" s="23" t="s">
        <v>20</v>
      </c>
      <c r="H195" s="22">
        <v>48</v>
      </c>
      <c r="I195" s="23" t="s">
        <v>41</v>
      </c>
      <c r="J195" s="24">
        <v>69600</v>
      </c>
      <c r="K195" s="21" t="s">
        <v>41</v>
      </c>
      <c r="L195" s="25"/>
      <c r="M195" s="25">
        <v>0.17</v>
      </c>
      <c r="N195" s="22"/>
      <c r="O195" s="23" t="s">
        <v>41</v>
      </c>
      <c r="P195" s="20">
        <f t="shared" si="62"/>
        <v>144</v>
      </c>
      <c r="Q195" s="23" t="s">
        <v>41</v>
      </c>
      <c r="R195" s="24">
        <f t="shared" ref="R195" si="67">P195*(J195-(J195*L195)-((J195-(J195*L195))*M195))</f>
        <v>8318592</v>
      </c>
      <c r="S195" s="24">
        <f t="shared" ref="S195" si="68">R195/1.11</f>
        <v>7494227.0270270268</v>
      </c>
    </row>
    <row r="196" spans="1:19" s="19" customFormat="1">
      <c r="A196" s="18" t="s">
        <v>755</v>
      </c>
      <c r="B196" s="19" t="s">
        <v>25</v>
      </c>
      <c r="C196" s="20"/>
      <c r="D196" s="21" t="s">
        <v>41</v>
      </c>
      <c r="E196" s="26"/>
      <c r="F196" s="22">
        <v>1</v>
      </c>
      <c r="G196" s="23" t="s">
        <v>20</v>
      </c>
      <c r="H196" s="22">
        <v>36</v>
      </c>
      <c r="I196" s="23" t="s">
        <v>41</v>
      </c>
      <c r="J196" s="24">
        <f>3240000/36</f>
        <v>90000</v>
      </c>
      <c r="K196" s="21" t="s">
        <v>41</v>
      </c>
      <c r="L196" s="25"/>
      <c r="M196" s="25">
        <v>0.17</v>
      </c>
      <c r="N196" s="22"/>
      <c r="O196" s="23" t="s">
        <v>41</v>
      </c>
      <c r="P196" s="20">
        <f t="shared" si="62"/>
        <v>0</v>
      </c>
      <c r="Q196" s="23" t="s">
        <v>41</v>
      </c>
      <c r="R196" s="24">
        <f t="shared" si="63"/>
        <v>0</v>
      </c>
      <c r="S196" s="24">
        <f>R196/1.11</f>
        <v>0</v>
      </c>
    </row>
    <row r="197" spans="1:19" s="19" customFormat="1">
      <c r="A197" s="18" t="s">
        <v>813</v>
      </c>
      <c r="B197" s="19" t="s">
        <v>25</v>
      </c>
      <c r="C197" s="20"/>
      <c r="D197" s="21" t="s">
        <v>41</v>
      </c>
      <c r="E197" s="26"/>
      <c r="F197" s="22">
        <v>1</v>
      </c>
      <c r="G197" s="23" t="s">
        <v>20</v>
      </c>
      <c r="H197" s="22">
        <v>36</v>
      </c>
      <c r="I197" s="23" t="s">
        <v>41</v>
      </c>
      <c r="J197" s="24">
        <f>4406400/36</f>
        <v>122400</v>
      </c>
      <c r="K197" s="21" t="s">
        <v>41</v>
      </c>
      <c r="L197" s="25"/>
      <c r="M197" s="25">
        <v>0.17</v>
      </c>
      <c r="N197" s="22"/>
      <c r="O197" s="23" t="s">
        <v>41</v>
      </c>
      <c r="P197" s="20">
        <f t="shared" si="62"/>
        <v>0</v>
      </c>
      <c r="Q197" s="23" t="s">
        <v>41</v>
      </c>
      <c r="R197" s="24">
        <f t="shared" si="63"/>
        <v>0</v>
      </c>
      <c r="S197" s="24">
        <f>R197/1.11</f>
        <v>0</v>
      </c>
    </row>
    <row r="198" spans="1:19" s="19" customFormat="1">
      <c r="A198" s="18"/>
      <c r="C198" s="20"/>
      <c r="D198" s="21"/>
      <c r="E198" s="26"/>
      <c r="F198" s="22"/>
      <c r="G198" s="23"/>
      <c r="H198" s="22"/>
      <c r="I198" s="23"/>
      <c r="J198" s="24"/>
      <c r="K198" s="21"/>
      <c r="L198" s="25"/>
      <c r="M198" s="25"/>
      <c r="N198" s="22"/>
      <c r="O198" s="23"/>
      <c r="P198" s="20"/>
      <c r="Q198" s="23"/>
      <c r="R198" s="24"/>
      <c r="S198" s="24"/>
    </row>
    <row r="199" spans="1:19" s="19" customFormat="1" ht="15.75">
      <c r="A199" s="44" t="s">
        <v>155</v>
      </c>
      <c r="C199" s="20"/>
      <c r="D199" s="21"/>
      <c r="E199" s="26"/>
      <c r="F199" s="22"/>
      <c r="G199" s="23"/>
      <c r="H199" s="22"/>
      <c r="I199" s="23"/>
      <c r="J199" s="24"/>
      <c r="K199" s="21"/>
      <c r="L199" s="25"/>
      <c r="M199" s="25"/>
      <c r="N199" s="22"/>
      <c r="O199" s="23"/>
      <c r="P199" s="20"/>
      <c r="Q199" s="23"/>
      <c r="R199" s="24"/>
      <c r="S199" s="24"/>
    </row>
    <row r="200" spans="1:19" s="19" customFormat="1">
      <c r="A200" s="59" t="s">
        <v>709</v>
      </c>
      <c r="B200" s="19" t="s">
        <v>18</v>
      </c>
      <c r="C200" s="20"/>
      <c r="D200" s="21" t="s">
        <v>157</v>
      </c>
      <c r="E200" s="26"/>
      <c r="F200" s="22">
        <v>12</v>
      </c>
      <c r="G200" s="23" t="s">
        <v>33</v>
      </c>
      <c r="H200" s="22">
        <v>12</v>
      </c>
      <c r="I200" s="23" t="s">
        <v>157</v>
      </c>
      <c r="J200" s="24">
        <v>11000</v>
      </c>
      <c r="K200" s="21" t="s">
        <v>157</v>
      </c>
      <c r="L200" s="25">
        <v>0.125</v>
      </c>
      <c r="M200" s="25">
        <v>0.05</v>
      </c>
      <c r="N200" s="22"/>
      <c r="O200" s="23" t="s">
        <v>157</v>
      </c>
      <c r="P200" s="20">
        <f t="shared" ref="P200:P209" si="69">(C200+(E200*F200*H200))-N200</f>
        <v>0</v>
      </c>
      <c r="Q200" s="23" t="s">
        <v>157</v>
      </c>
      <c r="R200" s="24">
        <f t="shared" ref="R200:R209" si="70">P200*(J200-(J200*L200)-((J200-(J200*L200))*M200))</f>
        <v>0</v>
      </c>
      <c r="S200" s="24">
        <f t="shared" si="64"/>
        <v>0</v>
      </c>
    </row>
    <row r="201" spans="1:19" s="19" customFormat="1">
      <c r="A201" s="59" t="s">
        <v>156</v>
      </c>
      <c r="B201" s="19" t="s">
        <v>18</v>
      </c>
      <c r="C201" s="20"/>
      <c r="D201" s="21" t="s">
        <v>157</v>
      </c>
      <c r="E201" s="26"/>
      <c r="F201" s="22">
        <v>12</v>
      </c>
      <c r="G201" s="23" t="s">
        <v>33</v>
      </c>
      <c r="H201" s="22">
        <v>12</v>
      </c>
      <c r="I201" s="23" t="s">
        <v>157</v>
      </c>
      <c r="J201" s="24">
        <v>11600</v>
      </c>
      <c r="K201" s="21" t="s">
        <v>157</v>
      </c>
      <c r="L201" s="25">
        <v>0.125</v>
      </c>
      <c r="M201" s="25">
        <v>0.05</v>
      </c>
      <c r="N201" s="22"/>
      <c r="O201" s="23" t="s">
        <v>157</v>
      </c>
      <c r="P201" s="20">
        <f t="shared" si="69"/>
        <v>0</v>
      </c>
      <c r="Q201" s="23" t="s">
        <v>157</v>
      </c>
      <c r="R201" s="24">
        <f t="shared" si="70"/>
        <v>0</v>
      </c>
      <c r="S201" s="24">
        <f t="shared" si="64"/>
        <v>0</v>
      </c>
    </row>
    <row r="202" spans="1:19" s="19" customFormat="1">
      <c r="A202" s="59" t="s">
        <v>158</v>
      </c>
      <c r="B202" s="19" t="s">
        <v>18</v>
      </c>
      <c r="C202" s="20"/>
      <c r="D202" s="21" t="s">
        <v>157</v>
      </c>
      <c r="E202" s="26">
        <v>1</v>
      </c>
      <c r="F202" s="22">
        <v>6</v>
      </c>
      <c r="G202" s="23" t="s">
        <v>33</v>
      </c>
      <c r="H202" s="22">
        <v>24</v>
      </c>
      <c r="I202" s="23" t="s">
        <v>157</v>
      </c>
      <c r="J202" s="24">
        <v>9000</v>
      </c>
      <c r="K202" s="21" t="s">
        <v>157</v>
      </c>
      <c r="L202" s="25">
        <v>0.125</v>
      </c>
      <c r="M202" s="25">
        <v>0.05</v>
      </c>
      <c r="N202" s="22"/>
      <c r="O202" s="23" t="s">
        <v>157</v>
      </c>
      <c r="P202" s="20">
        <f t="shared" si="69"/>
        <v>144</v>
      </c>
      <c r="Q202" s="23" t="s">
        <v>157</v>
      </c>
      <c r="R202" s="24">
        <f t="shared" si="70"/>
        <v>1077300</v>
      </c>
      <c r="S202" s="24">
        <f t="shared" si="64"/>
        <v>970540.54054054047</v>
      </c>
    </row>
    <row r="203" spans="1:19" s="19" customFormat="1">
      <c r="A203" s="18" t="s">
        <v>159</v>
      </c>
      <c r="B203" s="19" t="s">
        <v>18</v>
      </c>
      <c r="C203" s="20"/>
      <c r="D203" s="21" t="s">
        <v>157</v>
      </c>
      <c r="E203" s="26">
        <v>22</v>
      </c>
      <c r="F203" s="22">
        <v>1</v>
      </c>
      <c r="G203" s="23" t="s">
        <v>20</v>
      </c>
      <c r="H203" s="22">
        <v>144</v>
      </c>
      <c r="I203" s="23" t="s">
        <v>157</v>
      </c>
      <c r="J203" s="24">
        <v>11900</v>
      </c>
      <c r="K203" s="21" t="s">
        <v>157</v>
      </c>
      <c r="L203" s="25">
        <v>0.125</v>
      </c>
      <c r="M203" s="25">
        <v>0.05</v>
      </c>
      <c r="N203" s="22"/>
      <c r="O203" s="23" t="s">
        <v>157</v>
      </c>
      <c r="P203" s="20">
        <f t="shared" si="69"/>
        <v>3168</v>
      </c>
      <c r="Q203" s="23" t="s">
        <v>157</v>
      </c>
      <c r="R203" s="24">
        <f t="shared" si="70"/>
        <v>31337460</v>
      </c>
      <c r="S203" s="24">
        <f t="shared" si="64"/>
        <v>28231945.945945945</v>
      </c>
    </row>
    <row r="204" spans="1:19" s="19" customFormat="1">
      <c r="A204" s="18" t="s">
        <v>160</v>
      </c>
      <c r="B204" s="19" t="s">
        <v>18</v>
      </c>
      <c r="C204" s="20"/>
      <c r="D204" s="21" t="s">
        <v>157</v>
      </c>
      <c r="E204" s="26">
        <v>7</v>
      </c>
      <c r="F204" s="22">
        <v>6</v>
      </c>
      <c r="G204" s="23" t="s">
        <v>33</v>
      </c>
      <c r="H204" s="22">
        <v>12</v>
      </c>
      <c r="I204" s="23" t="s">
        <v>157</v>
      </c>
      <c r="J204" s="24">
        <v>23000</v>
      </c>
      <c r="K204" s="21" t="s">
        <v>157</v>
      </c>
      <c r="L204" s="25">
        <v>0.125</v>
      </c>
      <c r="M204" s="25">
        <v>0.05</v>
      </c>
      <c r="N204" s="22"/>
      <c r="O204" s="23" t="s">
        <v>157</v>
      </c>
      <c r="P204" s="20">
        <f t="shared" si="69"/>
        <v>504</v>
      </c>
      <c r="Q204" s="23" t="s">
        <v>157</v>
      </c>
      <c r="R204" s="24">
        <f t="shared" si="70"/>
        <v>9635850</v>
      </c>
      <c r="S204" s="24">
        <f t="shared" si="64"/>
        <v>8680945.9459459446</v>
      </c>
    </row>
    <row r="205" spans="1:19" s="19" customFormat="1">
      <c r="A205" s="18" t="s">
        <v>161</v>
      </c>
      <c r="B205" s="19" t="s">
        <v>18</v>
      </c>
      <c r="C205" s="20"/>
      <c r="D205" s="21" t="s">
        <v>157</v>
      </c>
      <c r="E205" s="26">
        <v>5</v>
      </c>
      <c r="F205" s="22">
        <v>8</v>
      </c>
      <c r="G205" s="23" t="s">
        <v>33</v>
      </c>
      <c r="H205" s="22">
        <v>6</v>
      </c>
      <c r="I205" s="23" t="s">
        <v>157</v>
      </c>
      <c r="J205" s="24">
        <v>29600</v>
      </c>
      <c r="K205" s="21" t="s">
        <v>157</v>
      </c>
      <c r="L205" s="25">
        <v>0.125</v>
      </c>
      <c r="M205" s="25">
        <v>0.05</v>
      </c>
      <c r="N205" s="22"/>
      <c r="O205" s="23" t="s">
        <v>157</v>
      </c>
      <c r="P205" s="20">
        <f t="shared" si="69"/>
        <v>240</v>
      </c>
      <c r="Q205" s="23" t="s">
        <v>157</v>
      </c>
      <c r="R205" s="24">
        <f t="shared" si="70"/>
        <v>5905200</v>
      </c>
      <c r="S205" s="24">
        <f t="shared" si="64"/>
        <v>5319999.9999999991</v>
      </c>
    </row>
    <row r="206" spans="1:19" s="19" customFormat="1">
      <c r="A206" s="18" t="s">
        <v>162</v>
      </c>
      <c r="B206" s="19" t="s">
        <v>18</v>
      </c>
      <c r="C206" s="20"/>
      <c r="D206" s="21" t="s">
        <v>157</v>
      </c>
      <c r="E206" s="26">
        <v>6</v>
      </c>
      <c r="F206" s="22">
        <v>6</v>
      </c>
      <c r="G206" s="23" t="s">
        <v>33</v>
      </c>
      <c r="H206" s="22">
        <v>6</v>
      </c>
      <c r="I206" s="23" t="s">
        <v>157</v>
      </c>
      <c r="J206" s="24">
        <v>41500</v>
      </c>
      <c r="K206" s="21" t="s">
        <v>157</v>
      </c>
      <c r="L206" s="25">
        <v>0.125</v>
      </c>
      <c r="M206" s="25">
        <v>0.05</v>
      </c>
      <c r="N206" s="22"/>
      <c r="O206" s="23" t="s">
        <v>157</v>
      </c>
      <c r="P206" s="20">
        <f t="shared" si="69"/>
        <v>216</v>
      </c>
      <c r="Q206" s="23" t="s">
        <v>157</v>
      </c>
      <c r="R206" s="24">
        <f t="shared" si="70"/>
        <v>7451325</v>
      </c>
      <c r="S206" s="24">
        <f>R206/1.11</f>
        <v>6712905.405405405</v>
      </c>
    </row>
    <row r="207" spans="1:19" s="19" customFormat="1">
      <c r="A207" s="18" t="s">
        <v>163</v>
      </c>
      <c r="B207" s="19" t="s">
        <v>18</v>
      </c>
      <c r="C207" s="20"/>
      <c r="D207" s="21" t="s">
        <v>157</v>
      </c>
      <c r="E207" s="26">
        <v>6</v>
      </c>
      <c r="F207" s="22">
        <v>4</v>
      </c>
      <c r="G207" s="23" t="s">
        <v>33</v>
      </c>
      <c r="H207" s="22">
        <v>6</v>
      </c>
      <c r="I207" s="23" t="s">
        <v>157</v>
      </c>
      <c r="J207" s="24">
        <v>58900</v>
      </c>
      <c r="K207" s="21" t="s">
        <v>157</v>
      </c>
      <c r="L207" s="25">
        <v>0.125</v>
      </c>
      <c r="M207" s="25">
        <v>0.05</v>
      </c>
      <c r="N207" s="22"/>
      <c r="O207" s="23" t="s">
        <v>157</v>
      </c>
      <c r="P207" s="20">
        <f t="shared" si="69"/>
        <v>144</v>
      </c>
      <c r="Q207" s="23" t="s">
        <v>157</v>
      </c>
      <c r="R207" s="24">
        <f t="shared" si="70"/>
        <v>7050330</v>
      </c>
      <c r="S207" s="24">
        <f t="shared" si="64"/>
        <v>6351648.6486486485</v>
      </c>
    </row>
    <row r="208" spans="1:19" s="19" customFormat="1">
      <c r="A208" s="18" t="s">
        <v>164</v>
      </c>
      <c r="B208" s="19" t="s">
        <v>18</v>
      </c>
      <c r="C208" s="20"/>
      <c r="D208" s="21" t="s">
        <v>157</v>
      </c>
      <c r="E208" s="26">
        <v>7</v>
      </c>
      <c r="F208" s="22">
        <v>4</v>
      </c>
      <c r="G208" s="23" t="s">
        <v>33</v>
      </c>
      <c r="H208" s="22">
        <v>6</v>
      </c>
      <c r="I208" s="23" t="s">
        <v>157</v>
      </c>
      <c r="J208" s="24">
        <v>66900</v>
      </c>
      <c r="K208" s="21" t="s">
        <v>157</v>
      </c>
      <c r="L208" s="25">
        <v>0.125</v>
      </c>
      <c r="M208" s="25">
        <v>0.05</v>
      </c>
      <c r="N208" s="22"/>
      <c r="O208" s="23" t="s">
        <v>157</v>
      </c>
      <c r="P208" s="20">
        <f t="shared" si="69"/>
        <v>168</v>
      </c>
      <c r="Q208" s="23" t="s">
        <v>157</v>
      </c>
      <c r="R208" s="24">
        <f t="shared" si="70"/>
        <v>9342585</v>
      </c>
      <c r="S208" s="24">
        <f t="shared" si="64"/>
        <v>8416743.2432432417</v>
      </c>
    </row>
    <row r="209" spans="1:19" s="19" customFormat="1">
      <c r="A209" s="18" t="s">
        <v>703</v>
      </c>
      <c r="B209" s="19" t="s">
        <v>18</v>
      </c>
      <c r="C209" s="20"/>
      <c r="D209" s="21" t="s">
        <v>157</v>
      </c>
      <c r="E209" s="26">
        <v>4</v>
      </c>
      <c r="F209" s="22">
        <v>1</v>
      </c>
      <c r="G209" s="23" t="s">
        <v>20</v>
      </c>
      <c r="H209" s="22">
        <v>24</v>
      </c>
      <c r="I209" s="23" t="s">
        <v>157</v>
      </c>
      <c r="J209" s="24">
        <v>96000</v>
      </c>
      <c r="K209" s="21" t="s">
        <v>157</v>
      </c>
      <c r="L209" s="25">
        <v>0.125</v>
      </c>
      <c r="M209" s="25">
        <v>0.05</v>
      </c>
      <c r="N209" s="22"/>
      <c r="O209" s="23" t="s">
        <v>157</v>
      </c>
      <c r="P209" s="20">
        <f t="shared" si="69"/>
        <v>96</v>
      </c>
      <c r="Q209" s="23" t="s">
        <v>157</v>
      </c>
      <c r="R209" s="24">
        <f t="shared" si="70"/>
        <v>7660800</v>
      </c>
      <c r="S209" s="24">
        <f t="shared" si="64"/>
        <v>6901621.6216216208</v>
      </c>
    </row>
    <row r="210" spans="1:19" s="19" customFormat="1">
      <c r="A210" s="18"/>
      <c r="C210" s="20"/>
      <c r="D210" s="21"/>
      <c r="E210" s="26"/>
      <c r="F210" s="22"/>
      <c r="G210" s="23"/>
      <c r="H210" s="22"/>
      <c r="I210" s="23"/>
      <c r="J210" s="24"/>
      <c r="K210" s="21"/>
      <c r="L210" s="25"/>
      <c r="M210" s="25"/>
      <c r="N210" s="22"/>
      <c r="O210" s="23"/>
      <c r="P210" s="20"/>
      <c r="Q210" s="23"/>
      <c r="R210" s="24"/>
      <c r="S210" s="24"/>
    </row>
    <row r="211" spans="1:19" s="19" customFormat="1">
      <c r="A211" s="59" t="s">
        <v>165</v>
      </c>
      <c r="B211" s="19" t="s">
        <v>25</v>
      </c>
      <c r="C211" s="20"/>
      <c r="D211" s="21" t="s">
        <v>157</v>
      </c>
      <c r="E211" s="26">
        <v>1</v>
      </c>
      <c r="F211" s="22">
        <v>12</v>
      </c>
      <c r="G211" s="23" t="s">
        <v>41</v>
      </c>
      <c r="H211" s="22">
        <v>12</v>
      </c>
      <c r="I211" s="23" t="s">
        <v>157</v>
      </c>
      <c r="J211" s="24">
        <f>1728000/12/12</f>
        <v>12000</v>
      </c>
      <c r="K211" s="21" t="s">
        <v>157</v>
      </c>
      <c r="L211" s="25"/>
      <c r="M211" s="25">
        <v>0.17</v>
      </c>
      <c r="N211" s="22"/>
      <c r="O211" s="23" t="s">
        <v>157</v>
      </c>
      <c r="P211" s="20">
        <f>(C211+(E211*F211*H211))-N211</f>
        <v>144</v>
      </c>
      <c r="Q211" s="23" t="s">
        <v>157</v>
      </c>
      <c r="R211" s="24">
        <f>P211*(J211-(J211*L211)-((J211-(J211*L211))*M211))</f>
        <v>1434240</v>
      </c>
      <c r="S211" s="24">
        <f t="shared" si="64"/>
        <v>1292108.1081081079</v>
      </c>
    </row>
    <row r="212" spans="1:19" s="19" customFormat="1">
      <c r="A212" s="59" t="s">
        <v>166</v>
      </c>
      <c r="B212" s="19" t="s">
        <v>25</v>
      </c>
      <c r="C212" s="20"/>
      <c r="D212" s="21" t="s">
        <v>157</v>
      </c>
      <c r="E212" s="26">
        <v>1</v>
      </c>
      <c r="F212" s="22">
        <v>6</v>
      </c>
      <c r="G212" s="23" t="s">
        <v>41</v>
      </c>
      <c r="H212" s="22">
        <v>12</v>
      </c>
      <c r="I212" s="23" t="s">
        <v>157</v>
      </c>
      <c r="J212" s="24">
        <f>1548000/6/12</f>
        <v>21500</v>
      </c>
      <c r="K212" s="21" t="s">
        <v>157</v>
      </c>
      <c r="L212" s="25"/>
      <c r="M212" s="25">
        <v>0.17</v>
      </c>
      <c r="N212" s="22"/>
      <c r="O212" s="23" t="s">
        <v>157</v>
      </c>
      <c r="P212" s="20">
        <f>(C212+(E212*F212*H212))-N212</f>
        <v>72</v>
      </c>
      <c r="Q212" s="23" t="s">
        <v>157</v>
      </c>
      <c r="R212" s="24">
        <f>P212*(J212-(J212*L212)-((J212-(J212*L212))*M212))</f>
        <v>1284840</v>
      </c>
      <c r="S212" s="24">
        <f t="shared" si="64"/>
        <v>1157513.5135135134</v>
      </c>
    </row>
    <row r="213" spans="1:19" s="19" customFormat="1">
      <c r="A213" s="92" t="s">
        <v>850</v>
      </c>
      <c r="B213" s="19" t="s">
        <v>25</v>
      </c>
      <c r="C213" s="20"/>
      <c r="D213" s="21" t="s">
        <v>157</v>
      </c>
      <c r="E213" s="26">
        <v>1</v>
      </c>
      <c r="F213" s="22">
        <v>4</v>
      </c>
      <c r="G213" s="23" t="s">
        <v>41</v>
      </c>
      <c r="H213" s="22">
        <v>12</v>
      </c>
      <c r="I213" s="23" t="s">
        <v>157</v>
      </c>
      <c r="J213" s="24">
        <v>28500</v>
      </c>
      <c r="K213" s="21" t="s">
        <v>157</v>
      </c>
      <c r="L213" s="25"/>
      <c r="M213" s="25">
        <v>0.17</v>
      </c>
      <c r="N213" s="22"/>
      <c r="O213" s="23" t="s">
        <v>157</v>
      </c>
      <c r="P213" s="20">
        <f t="shared" ref="P213:P214" si="71">(C213+(E213*F213*H213))-N213</f>
        <v>48</v>
      </c>
      <c r="Q213" s="23" t="s">
        <v>157</v>
      </c>
      <c r="R213" s="24">
        <f t="shared" ref="R213:R214" si="72">P213*(J213-(J213*L213)-((J213-(J213*L213))*M213))</f>
        <v>1135440</v>
      </c>
      <c r="S213" s="24">
        <f t="shared" ref="S213:S214" si="73">R213/1.11</f>
        <v>1022918.9189189188</v>
      </c>
    </row>
    <row r="214" spans="1:19" s="19" customFormat="1">
      <c r="A214" s="92" t="s">
        <v>851</v>
      </c>
      <c r="B214" s="19" t="s">
        <v>25</v>
      </c>
      <c r="C214" s="20"/>
      <c r="D214" s="21" t="s">
        <v>157</v>
      </c>
      <c r="E214" s="26">
        <v>1</v>
      </c>
      <c r="F214" s="22">
        <v>4</v>
      </c>
      <c r="G214" s="23" t="s">
        <v>41</v>
      </c>
      <c r="H214" s="22">
        <v>12</v>
      </c>
      <c r="I214" s="23" t="s">
        <v>157</v>
      </c>
      <c r="J214" s="24">
        <v>31125</v>
      </c>
      <c r="K214" s="21" t="s">
        <v>157</v>
      </c>
      <c r="L214" s="25"/>
      <c r="M214" s="25">
        <v>0.17</v>
      </c>
      <c r="N214" s="22"/>
      <c r="O214" s="23" t="s">
        <v>157</v>
      </c>
      <c r="P214" s="20">
        <f t="shared" si="71"/>
        <v>48</v>
      </c>
      <c r="Q214" s="23" t="s">
        <v>157</v>
      </c>
      <c r="R214" s="24">
        <f t="shared" si="72"/>
        <v>1240020</v>
      </c>
      <c r="S214" s="24">
        <f t="shared" si="73"/>
        <v>1117135.1351351351</v>
      </c>
    </row>
    <row r="215" spans="1:19" s="19" customFormat="1">
      <c r="A215" s="59"/>
      <c r="C215" s="20"/>
      <c r="D215" s="21"/>
      <c r="E215" s="26"/>
      <c r="F215" s="22"/>
      <c r="G215" s="23"/>
      <c r="H215" s="22"/>
      <c r="I215" s="23"/>
      <c r="J215" s="24"/>
      <c r="K215" s="21"/>
      <c r="L215" s="25"/>
      <c r="M215" s="25"/>
      <c r="N215" s="22"/>
      <c r="O215" s="23"/>
      <c r="P215" s="20"/>
      <c r="Q215" s="23"/>
      <c r="R215" s="24"/>
      <c r="S215" s="24"/>
    </row>
    <row r="216" spans="1:19" s="19" customFormat="1">
      <c r="A216" s="59" t="s">
        <v>167</v>
      </c>
      <c r="B216" s="19" t="s">
        <v>25</v>
      </c>
      <c r="C216" s="20"/>
      <c r="D216" s="21" t="s">
        <v>157</v>
      </c>
      <c r="E216" s="26"/>
      <c r="F216" s="22">
        <v>8</v>
      </c>
      <c r="G216" s="23" t="s">
        <v>33</v>
      </c>
      <c r="H216" s="22">
        <v>12</v>
      </c>
      <c r="I216" s="23" t="s">
        <v>157</v>
      </c>
      <c r="J216" s="24">
        <v>12500</v>
      </c>
      <c r="K216" s="21" t="s">
        <v>157</v>
      </c>
      <c r="L216" s="25"/>
      <c r="M216" s="25">
        <v>0.17</v>
      </c>
      <c r="N216" s="22"/>
      <c r="O216" s="23" t="s">
        <v>157</v>
      </c>
      <c r="P216" s="20">
        <f t="shared" ref="P216:P223" si="74">(C216+(E216*F216*H216))-N216</f>
        <v>0</v>
      </c>
      <c r="Q216" s="23" t="s">
        <v>157</v>
      </c>
      <c r="R216" s="24">
        <f t="shared" ref="R216:R223" si="75">P216*(J216-(J216*L216)-((J216-(J216*L216))*M216))</f>
        <v>0</v>
      </c>
      <c r="S216" s="24">
        <f t="shared" si="64"/>
        <v>0</v>
      </c>
    </row>
    <row r="217" spans="1:19" s="19" customFormat="1">
      <c r="A217" s="59" t="s">
        <v>168</v>
      </c>
      <c r="B217" s="19" t="s">
        <v>25</v>
      </c>
      <c r="C217" s="20"/>
      <c r="D217" s="21" t="s">
        <v>157</v>
      </c>
      <c r="E217" s="26"/>
      <c r="F217" s="22">
        <v>1</v>
      </c>
      <c r="G217" s="23" t="s">
        <v>20</v>
      </c>
      <c r="H217" s="22">
        <v>144</v>
      </c>
      <c r="I217" s="23" t="s">
        <v>157</v>
      </c>
      <c r="J217" s="24">
        <v>11600</v>
      </c>
      <c r="K217" s="21" t="s">
        <v>157</v>
      </c>
      <c r="L217" s="25"/>
      <c r="M217" s="25">
        <v>0.17</v>
      </c>
      <c r="N217" s="22"/>
      <c r="O217" s="23" t="s">
        <v>157</v>
      </c>
      <c r="P217" s="20">
        <f t="shared" si="74"/>
        <v>0</v>
      </c>
      <c r="Q217" s="23" t="s">
        <v>157</v>
      </c>
      <c r="R217" s="24">
        <f t="shared" si="75"/>
        <v>0</v>
      </c>
      <c r="S217" s="24">
        <f t="shared" si="64"/>
        <v>0</v>
      </c>
    </row>
    <row r="218" spans="1:19" s="19" customFormat="1">
      <c r="A218" s="18" t="s">
        <v>169</v>
      </c>
      <c r="B218" s="19" t="s">
        <v>25</v>
      </c>
      <c r="C218" s="20"/>
      <c r="D218" s="21" t="s">
        <v>157</v>
      </c>
      <c r="E218" s="26"/>
      <c r="F218" s="22">
        <v>12</v>
      </c>
      <c r="G218" s="23" t="s">
        <v>41</v>
      </c>
      <c r="H218" s="22">
        <v>12</v>
      </c>
      <c r="I218" s="23" t="s">
        <v>157</v>
      </c>
      <c r="J218" s="24">
        <f>2088000/144</f>
        <v>14500</v>
      </c>
      <c r="K218" s="21" t="s">
        <v>157</v>
      </c>
      <c r="L218" s="25"/>
      <c r="M218" s="25">
        <v>0.17</v>
      </c>
      <c r="N218" s="22"/>
      <c r="O218" s="23" t="s">
        <v>157</v>
      </c>
      <c r="P218" s="20">
        <f t="shared" si="74"/>
        <v>0</v>
      </c>
      <c r="Q218" s="23" t="s">
        <v>157</v>
      </c>
      <c r="R218" s="24">
        <f t="shared" si="75"/>
        <v>0</v>
      </c>
      <c r="S218" s="24">
        <f t="shared" si="64"/>
        <v>0</v>
      </c>
    </row>
    <row r="219" spans="1:19" s="19" customFormat="1">
      <c r="A219" s="18" t="s">
        <v>170</v>
      </c>
      <c r="B219" s="19" t="s">
        <v>25</v>
      </c>
      <c r="C219" s="20"/>
      <c r="D219" s="21" t="s">
        <v>157</v>
      </c>
      <c r="E219" s="26"/>
      <c r="F219" s="22">
        <v>6</v>
      </c>
      <c r="G219" s="23" t="s">
        <v>41</v>
      </c>
      <c r="H219" s="22">
        <v>12</v>
      </c>
      <c r="I219" s="23" t="s">
        <v>157</v>
      </c>
      <c r="J219" s="24">
        <f>1944000/72</f>
        <v>27000</v>
      </c>
      <c r="K219" s="21" t="s">
        <v>157</v>
      </c>
      <c r="L219" s="25"/>
      <c r="M219" s="25">
        <v>0.17</v>
      </c>
      <c r="N219" s="22"/>
      <c r="O219" s="23" t="s">
        <v>157</v>
      </c>
      <c r="P219" s="20">
        <f t="shared" si="74"/>
        <v>0</v>
      </c>
      <c r="Q219" s="23" t="s">
        <v>157</v>
      </c>
      <c r="R219" s="24">
        <f t="shared" si="75"/>
        <v>0</v>
      </c>
      <c r="S219" s="24">
        <f t="shared" si="64"/>
        <v>0</v>
      </c>
    </row>
    <row r="220" spans="1:19" s="19" customFormat="1">
      <c r="A220" s="18" t="s">
        <v>171</v>
      </c>
      <c r="B220" s="19" t="s">
        <v>25</v>
      </c>
      <c r="C220" s="20"/>
      <c r="D220" s="21" t="s">
        <v>157</v>
      </c>
      <c r="E220" s="26"/>
      <c r="F220" s="22">
        <v>8</v>
      </c>
      <c r="G220" s="23" t="s">
        <v>33</v>
      </c>
      <c r="H220" s="22">
        <v>6</v>
      </c>
      <c r="I220" s="23" t="s">
        <v>157</v>
      </c>
      <c r="J220" s="24">
        <f>1632000/8/6</f>
        <v>34000</v>
      </c>
      <c r="K220" s="21" t="s">
        <v>157</v>
      </c>
      <c r="L220" s="25"/>
      <c r="M220" s="25">
        <v>0.17</v>
      </c>
      <c r="N220" s="22"/>
      <c r="O220" s="23" t="s">
        <v>157</v>
      </c>
      <c r="P220" s="20">
        <f t="shared" si="74"/>
        <v>0</v>
      </c>
      <c r="Q220" s="23" t="s">
        <v>157</v>
      </c>
      <c r="R220" s="24">
        <f t="shared" si="75"/>
        <v>0</v>
      </c>
      <c r="S220" s="24">
        <f t="shared" si="64"/>
        <v>0</v>
      </c>
    </row>
    <row r="221" spans="1:19" s="19" customFormat="1">
      <c r="A221" s="18" t="s">
        <v>172</v>
      </c>
      <c r="B221" s="19" t="s">
        <v>25</v>
      </c>
      <c r="C221" s="20"/>
      <c r="D221" s="21" t="s">
        <v>157</v>
      </c>
      <c r="E221" s="26"/>
      <c r="F221" s="22">
        <v>6</v>
      </c>
      <c r="G221" s="23" t="s">
        <v>33</v>
      </c>
      <c r="H221" s="22">
        <v>6</v>
      </c>
      <c r="I221" s="23" t="s">
        <v>157</v>
      </c>
      <c r="J221" s="24">
        <f>1710000/6/6</f>
        <v>47500</v>
      </c>
      <c r="K221" s="21" t="s">
        <v>157</v>
      </c>
      <c r="L221" s="25"/>
      <c r="M221" s="25">
        <v>0.17</v>
      </c>
      <c r="N221" s="22"/>
      <c r="O221" s="23" t="s">
        <v>157</v>
      </c>
      <c r="P221" s="20">
        <f t="shared" si="74"/>
        <v>0</v>
      </c>
      <c r="Q221" s="23" t="s">
        <v>157</v>
      </c>
      <c r="R221" s="24">
        <f t="shared" si="75"/>
        <v>0</v>
      </c>
      <c r="S221" s="24">
        <f t="shared" si="64"/>
        <v>0</v>
      </c>
    </row>
    <row r="222" spans="1:19" s="19" customFormat="1">
      <c r="A222" s="18" t="s">
        <v>173</v>
      </c>
      <c r="B222" s="19" t="s">
        <v>25</v>
      </c>
      <c r="C222" s="20"/>
      <c r="D222" s="21" t="s">
        <v>157</v>
      </c>
      <c r="E222" s="26"/>
      <c r="F222" s="22">
        <v>4</v>
      </c>
      <c r="G222" s="23" t="s">
        <v>33</v>
      </c>
      <c r="H222" s="22">
        <v>6</v>
      </c>
      <c r="I222" s="23" t="s">
        <v>157</v>
      </c>
      <c r="J222" s="24">
        <f>1656000/4/6</f>
        <v>69000</v>
      </c>
      <c r="K222" s="21" t="s">
        <v>157</v>
      </c>
      <c r="L222" s="25"/>
      <c r="M222" s="25">
        <v>0.17</v>
      </c>
      <c r="N222" s="22"/>
      <c r="O222" s="23" t="s">
        <v>157</v>
      </c>
      <c r="P222" s="20">
        <f t="shared" si="74"/>
        <v>0</v>
      </c>
      <c r="Q222" s="23" t="s">
        <v>157</v>
      </c>
      <c r="R222" s="24">
        <f t="shared" si="75"/>
        <v>0</v>
      </c>
      <c r="S222" s="24">
        <f t="shared" si="64"/>
        <v>0</v>
      </c>
    </row>
    <row r="223" spans="1:19" s="19" customFormat="1">
      <c r="A223" s="18" t="s">
        <v>174</v>
      </c>
      <c r="B223" s="19" t="s">
        <v>25</v>
      </c>
      <c r="C223" s="20"/>
      <c r="D223" s="21" t="s">
        <v>157</v>
      </c>
      <c r="E223" s="26"/>
      <c r="F223" s="22">
        <v>4</v>
      </c>
      <c r="G223" s="23" t="s">
        <v>33</v>
      </c>
      <c r="H223" s="22">
        <v>6</v>
      </c>
      <c r="I223" s="23" t="s">
        <v>157</v>
      </c>
      <c r="J223" s="24">
        <f>1824000/4/6</f>
        <v>76000</v>
      </c>
      <c r="K223" s="21" t="s">
        <v>157</v>
      </c>
      <c r="L223" s="25"/>
      <c r="M223" s="25">
        <v>0.17</v>
      </c>
      <c r="N223" s="22"/>
      <c r="O223" s="23" t="s">
        <v>157</v>
      </c>
      <c r="P223" s="20">
        <f t="shared" si="74"/>
        <v>0</v>
      </c>
      <c r="Q223" s="23" t="s">
        <v>157</v>
      </c>
      <c r="R223" s="24">
        <f t="shared" si="75"/>
        <v>0</v>
      </c>
      <c r="S223" s="24">
        <f t="shared" si="64"/>
        <v>0</v>
      </c>
    </row>
    <row r="224" spans="1:19" s="19" customFormat="1">
      <c r="A224" s="18"/>
      <c r="C224" s="20"/>
      <c r="D224" s="21"/>
      <c r="E224" s="26"/>
      <c r="F224" s="22"/>
      <c r="G224" s="23"/>
      <c r="H224" s="22"/>
      <c r="I224" s="23"/>
      <c r="J224" s="24"/>
      <c r="K224" s="21"/>
      <c r="L224" s="25"/>
      <c r="M224" s="25"/>
      <c r="N224" s="22"/>
      <c r="O224" s="23"/>
      <c r="P224" s="20"/>
      <c r="Q224" s="23"/>
      <c r="R224" s="24"/>
      <c r="S224" s="24"/>
    </row>
    <row r="225" spans="1:19" s="19" customFormat="1">
      <c r="A225" s="88" t="s">
        <v>175</v>
      </c>
      <c r="C225" s="20"/>
      <c r="D225" s="21"/>
      <c r="E225" s="26"/>
      <c r="F225" s="22"/>
      <c r="G225" s="23"/>
      <c r="H225" s="22"/>
      <c r="I225" s="23"/>
      <c r="J225" s="24"/>
      <c r="K225" s="21"/>
      <c r="L225" s="25"/>
      <c r="M225" s="25"/>
      <c r="N225" s="22"/>
      <c r="O225" s="23"/>
      <c r="P225" s="20"/>
      <c r="Q225" s="23"/>
      <c r="R225" s="24"/>
      <c r="S225" s="24"/>
    </row>
    <row r="226" spans="1:19" s="19" customFormat="1">
      <c r="A226" s="18" t="s">
        <v>176</v>
      </c>
      <c r="B226" s="19" t="s">
        <v>177</v>
      </c>
      <c r="C226" s="20"/>
      <c r="D226" s="21" t="s">
        <v>157</v>
      </c>
      <c r="E226" s="26"/>
      <c r="F226" s="22">
        <v>1</v>
      </c>
      <c r="G226" s="23" t="s">
        <v>20</v>
      </c>
      <c r="H226" s="22">
        <v>144</v>
      </c>
      <c r="I226" s="23" t="s">
        <v>157</v>
      </c>
      <c r="J226" s="24">
        <v>14000</v>
      </c>
      <c r="K226" s="21" t="s">
        <v>157</v>
      </c>
      <c r="L226" s="25">
        <v>0.05</v>
      </c>
      <c r="M226" s="25">
        <v>0.03</v>
      </c>
      <c r="N226" s="22"/>
      <c r="O226" s="23" t="s">
        <v>157</v>
      </c>
      <c r="P226" s="20">
        <f>(C226+(E226*F226*H226))-N226</f>
        <v>0</v>
      </c>
      <c r="Q226" s="23" t="s">
        <v>157</v>
      </c>
      <c r="R226" s="24">
        <f>P226*(J226-(J226*L226)-((J226-(J226*L226))*M226))</f>
        <v>0</v>
      </c>
      <c r="S226" s="24">
        <f t="shared" si="64"/>
        <v>0</v>
      </c>
    </row>
    <row r="227" spans="1:19" s="19" customFormat="1">
      <c r="A227" s="18"/>
      <c r="C227" s="20"/>
      <c r="D227" s="21"/>
      <c r="E227" s="26"/>
      <c r="F227" s="22"/>
      <c r="G227" s="23"/>
      <c r="H227" s="22"/>
      <c r="I227" s="23"/>
      <c r="J227" s="24"/>
      <c r="K227" s="21"/>
      <c r="L227" s="25"/>
      <c r="M227" s="25"/>
      <c r="N227" s="22"/>
      <c r="O227" s="23"/>
      <c r="P227" s="20"/>
      <c r="Q227" s="23"/>
      <c r="R227" s="24"/>
      <c r="S227" s="24"/>
    </row>
    <row r="228" spans="1:19" s="19" customFormat="1">
      <c r="A228" s="18" t="s">
        <v>178</v>
      </c>
      <c r="B228" s="19" t="s">
        <v>18</v>
      </c>
      <c r="C228" s="20"/>
      <c r="D228" s="21" t="s">
        <v>157</v>
      </c>
      <c r="E228" s="26">
        <v>5</v>
      </c>
      <c r="F228" s="22">
        <v>12</v>
      </c>
      <c r="G228" s="23" t="s">
        <v>33</v>
      </c>
      <c r="H228" s="22">
        <v>12</v>
      </c>
      <c r="I228" s="23" t="s">
        <v>157</v>
      </c>
      <c r="J228" s="24">
        <v>18600</v>
      </c>
      <c r="K228" s="21" t="s">
        <v>157</v>
      </c>
      <c r="L228" s="25">
        <v>0.125</v>
      </c>
      <c r="M228" s="25">
        <v>0.05</v>
      </c>
      <c r="N228" s="22"/>
      <c r="O228" s="23" t="s">
        <v>157</v>
      </c>
      <c r="P228" s="20">
        <f>(C228+(E228*F228*H228))-N228</f>
        <v>720</v>
      </c>
      <c r="Q228" s="23" t="s">
        <v>157</v>
      </c>
      <c r="R228" s="24">
        <f>P228*(J228-(J228*L228)-((J228-(J228*L228))*M228))</f>
        <v>11132100</v>
      </c>
      <c r="S228" s="24">
        <f t="shared" si="64"/>
        <v>10028918.918918919</v>
      </c>
    </row>
    <row r="229" spans="1:19" s="19" customFormat="1">
      <c r="A229" s="18" t="s">
        <v>179</v>
      </c>
      <c r="B229" s="19" t="s">
        <v>18</v>
      </c>
      <c r="C229" s="20"/>
      <c r="D229" s="21" t="s">
        <v>157</v>
      </c>
      <c r="E229" s="26">
        <v>7</v>
      </c>
      <c r="F229" s="22">
        <v>12</v>
      </c>
      <c r="G229" s="23" t="s">
        <v>33</v>
      </c>
      <c r="H229" s="22">
        <v>12</v>
      </c>
      <c r="I229" s="23" t="s">
        <v>157</v>
      </c>
      <c r="J229" s="24">
        <v>23900</v>
      </c>
      <c r="K229" s="21" t="s">
        <v>157</v>
      </c>
      <c r="L229" s="25">
        <v>0.125</v>
      </c>
      <c r="M229" s="25">
        <v>0.05</v>
      </c>
      <c r="N229" s="22"/>
      <c r="O229" s="23" t="s">
        <v>157</v>
      </c>
      <c r="P229" s="20">
        <f>(C229+(E229*F229*H229))-N229</f>
        <v>1008</v>
      </c>
      <c r="Q229" s="23" t="s">
        <v>157</v>
      </c>
      <c r="R229" s="24">
        <f>P229*(J229-(J229*L229)-((J229-(J229*L229))*M229))</f>
        <v>20025810</v>
      </c>
      <c r="S229" s="24">
        <f t="shared" si="64"/>
        <v>18041270.270270269</v>
      </c>
    </row>
    <row r="230" spans="1:19" s="19" customFormat="1">
      <c r="A230" s="91" t="s">
        <v>180</v>
      </c>
      <c r="B230" s="19" t="s">
        <v>18</v>
      </c>
      <c r="C230" s="20"/>
      <c r="D230" s="21" t="s">
        <v>157</v>
      </c>
      <c r="E230" s="26">
        <v>1</v>
      </c>
      <c r="F230" s="22">
        <v>12</v>
      </c>
      <c r="G230" s="23" t="s">
        <v>33</v>
      </c>
      <c r="H230" s="22">
        <v>6</v>
      </c>
      <c r="I230" s="23" t="s">
        <v>157</v>
      </c>
      <c r="J230" s="94">
        <v>47800</v>
      </c>
      <c r="K230" s="21" t="s">
        <v>157</v>
      </c>
      <c r="L230" s="25">
        <v>0.125</v>
      </c>
      <c r="M230" s="25">
        <v>0.05</v>
      </c>
      <c r="N230" s="22"/>
      <c r="O230" s="23" t="s">
        <v>157</v>
      </c>
      <c r="P230" s="20">
        <f>(C230+(E230*F230*H230))-N230</f>
        <v>72</v>
      </c>
      <c r="Q230" s="23" t="s">
        <v>157</v>
      </c>
      <c r="R230" s="24">
        <f>P230*(J230-(J230*L230)-((J230-(J230*L230))*M230))</f>
        <v>2860830</v>
      </c>
      <c r="S230" s="24">
        <f t="shared" ref="S230" si="76">R230/1.11</f>
        <v>2577324.3243243243</v>
      </c>
    </row>
    <row r="231" spans="1:19" s="19" customFormat="1">
      <c r="A231" s="18" t="s">
        <v>180</v>
      </c>
      <c r="B231" s="19" t="s">
        <v>18</v>
      </c>
      <c r="C231" s="20"/>
      <c r="D231" s="21" t="s">
        <v>157</v>
      </c>
      <c r="E231" s="26"/>
      <c r="F231" s="22">
        <v>12</v>
      </c>
      <c r="G231" s="23" t="s">
        <v>33</v>
      </c>
      <c r="H231" s="22">
        <v>6</v>
      </c>
      <c r="I231" s="23" t="s">
        <v>157</v>
      </c>
      <c r="J231" s="24">
        <v>48000</v>
      </c>
      <c r="K231" s="21" t="s">
        <v>157</v>
      </c>
      <c r="L231" s="25">
        <v>0.125</v>
      </c>
      <c r="M231" s="25">
        <v>0.05</v>
      </c>
      <c r="N231" s="22"/>
      <c r="O231" s="23" t="s">
        <v>157</v>
      </c>
      <c r="P231" s="20">
        <f>(C231+(E231*F231*H231))-N231</f>
        <v>0</v>
      </c>
      <c r="Q231" s="23" t="s">
        <v>157</v>
      </c>
      <c r="R231" s="24">
        <f>P231*(J231-(J231*L231)-((J231-(J231*L231))*M231))</f>
        <v>0</v>
      </c>
      <c r="S231" s="24">
        <f t="shared" si="64"/>
        <v>0</v>
      </c>
    </row>
    <row r="232" spans="1:19" s="19" customFormat="1">
      <c r="A232" s="18"/>
      <c r="C232" s="20"/>
      <c r="D232" s="21"/>
      <c r="E232" s="26"/>
      <c r="F232" s="22"/>
      <c r="G232" s="23"/>
      <c r="H232" s="22"/>
      <c r="I232" s="23"/>
      <c r="J232" s="24"/>
      <c r="K232" s="21"/>
      <c r="L232" s="25"/>
      <c r="M232" s="25"/>
      <c r="N232" s="22"/>
      <c r="O232" s="23"/>
      <c r="P232" s="20"/>
      <c r="Q232" s="23"/>
      <c r="R232" s="24"/>
      <c r="S232" s="24"/>
    </row>
    <row r="233" spans="1:19" s="19" customFormat="1">
      <c r="A233" s="18" t="s">
        <v>181</v>
      </c>
      <c r="B233" s="19" t="s">
        <v>25</v>
      </c>
      <c r="C233" s="20"/>
      <c r="D233" s="21" t="s">
        <v>157</v>
      </c>
      <c r="E233" s="26"/>
      <c r="F233" s="22">
        <v>12</v>
      </c>
      <c r="G233" s="23" t="s">
        <v>41</v>
      </c>
      <c r="H233" s="22">
        <v>12</v>
      </c>
      <c r="I233" s="23" t="s">
        <v>157</v>
      </c>
      <c r="J233" s="24">
        <f>2592000/12/12</f>
        <v>18000</v>
      </c>
      <c r="K233" s="21" t="s">
        <v>157</v>
      </c>
      <c r="L233" s="25"/>
      <c r="M233" s="25">
        <v>0.17</v>
      </c>
      <c r="N233" s="22"/>
      <c r="O233" s="23" t="s">
        <v>157</v>
      </c>
      <c r="P233" s="20">
        <f>(C233+(E233*F233*H233))-N233</f>
        <v>0</v>
      </c>
      <c r="Q233" s="23" t="s">
        <v>157</v>
      </c>
      <c r="R233" s="24">
        <f>P233*(J233-(J233*L233)-((J233-(J233*L233))*M233))</f>
        <v>0</v>
      </c>
      <c r="S233" s="24">
        <f t="shared" si="64"/>
        <v>0</v>
      </c>
    </row>
    <row r="234" spans="1:19" s="19" customFormat="1">
      <c r="A234" s="18" t="s">
        <v>182</v>
      </c>
      <c r="B234" s="19" t="s">
        <v>25</v>
      </c>
      <c r="C234" s="20"/>
      <c r="D234" s="21" t="s">
        <v>157</v>
      </c>
      <c r="E234" s="26"/>
      <c r="F234" s="22">
        <v>8</v>
      </c>
      <c r="G234" s="23" t="s">
        <v>41</v>
      </c>
      <c r="H234" s="22">
        <v>12</v>
      </c>
      <c r="I234" s="23" t="s">
        <v>157</v>
      </c>
      <c r="J234" s="24">
        <v>24500</v>
      </c>
      <c r="K234" s="21" t="s">
        <v>157</v>
      </c>
      <c r="L234" s="25"/>
      <c r="M234" s="25">
        <v>0.17</v>
      </c>
      <c r="N234" s="22"/>
      <c r="O234" s="23" t="s">
        <v>157</v>
      </c>
      <c r="P234" s="20">
        <f>(C234+(E234*F234*H234))-N234</f>
        <v>0</v>
      </c>
      <c r="Q234" s="23" t="s">
        <v>157</v>
      </c>
      <c r="R234" s="24">
        <f>P234*(J234-(J234*L234)-((J234-(J234*L234))*M234))</f>
        <v>0</v>
      </c>
      <c r="S234" s="24">
        <f t="shared" si="64"/>
        <v>0</v>
      </c>
    </row>
    <row r="235" spans="1:19" s="19" customFormat="1">
      <c r="A235" s="18" t="s">
        <v>183</v>
      </c>
      <c r="B235" s="19" t="s">
        <v>25</v>
      </c>
      <c r="C235" s="20"/>
      <c r="D235" s="21" t="s">
        <v>157</v>
      </c>
      <c r="E235" s="26"/>
      <c r="F235" s="22">
        <v>12</v>
      </c>
      <c r="G235" s="23" t="s">
        <v>41</v>
      </c>
      <c r="H235" s="22">
        <v>12</v>
      </c>
      <c r="I235" s="23" t="s">
        <v>157</v>
      </c>
      <c r="J235" s="24">
        <f>3888000/144</f>
        <v>27000</v>
      </c>
      <c r="K235" s="21" t="s">
        <v>157</v>
      </c>
      <c r="L235" s="25">
        <v>0.05</v>
      </c>
      <c r="M235" s="25">
        <v>0.17</v>
      </c>
      <c r="N235" s="22"/>
      <c r="O235" s="23" t="s">
        <v>157</v>
      </c>
      <c r="P235" s="20">
        <f>(C235+(E235*F235*H235))-N235</f>
        <v>0</v>
      </c>
      <c r="Q235" s="23" t="s">
        <v>157</v>
      </c>
      <c r="R235" s="24">
        <f>P235*(J235-(J235*L235)-((J235-(J235*L235))*M235))</f>
        <v>0</v>
      </c>
      <c r="S235" s="24">
        <f t="shared" si="64"/>
        <v>0</v>
      </c>
    </row>
    <row r="236" spans="1:19" s="19" customFormat="1">
      <c r="A236" s="18" t="s">
        <v>184</v>
      </c>
      <c r="B236" s="19" t="s">
        <v>25</v>
      </c>
      <c r="C236" s="20"/>
      <c r="D236" s="21" t="s">
        <v>157</v>
      </c>
      <c r="E236" s="26"/>
      <c r="F236" s="22">
        <v>6</v>
      </c>
      <c r="G236" s="23" t="s">
        <v>41</v>
      </c>
      <c r="H236" s="22">
        <v>12</v>
      </c>
      <c r="I236" s="23" t="s">
        <v>157</v>
      </c>
      <c r="J236" s="24">
        <v>36000</v>
      </c>
      <c r="K236" s="21" t="s">
        <v>157</v>
      </c>
      <c r="L236" s="25">
        <v>0.05</v>
      </c>
      <c r="M236" s="25">
        <v>0.17</v>
      </c>
      <c r="N236" s="22"/>
      <c r="O236" s="23" t="s">
        <v>157</v>
      </c>
      <c r="P236" s="20">
        <f>(C236+(E236*F236*H236))-N236</f>
        <v>0</v>
      </c>
      <c r="Q236" s="23" t="s">
        <v>157</v>
      </c>
      <c r="R236" s="24">
        <f>P236*(J236-(J236*L236)-((J236-(J236*L236))*M236))</f>
        <v>0</v>
      </c>
      <c r="S236" s="24">
        <f t="shared" si="64"/>
        <v>0</v>
      </c>
    </row>
    <row r="237" spans="1:19" s="19" customFormat="1">
      <c r="A237" s="18"/>
      <c r="C237" s="20"/>
      <c r="D237" s="21"/>
      <c r="E237" s="26"/>
      <c r="F237" s="22"/>
      <c r="G237" s="23"/>
      <c r="H237" s="22"/>
      <c r="I237" s="23"/>
      <c r="J237" s="24"/>
      <c r="K237" s="21"/>
      <c r="L237" s="25"/>
      <c r="M237" s="25"/>
      <c r="N237" s="22"/>
      <c r="O237" s="23"/>
      <c r="P237" s="20"/>
      <c r="Q237" s="23"/>
      <c r="R237" s="24"/>
      <c r="S237" s="24"/>
    </row>
    <row r="238" spans="1:19" s="19" customFormat="1">
      <c r="A238" s="88" t="s">
        <v>185</v>
      </c>
      <c r="C238" s="20"/>
      <c r="D238" s="21"/>
      <c r="E238" s="26"/>
      <c r="F238" s="22"/>
      <c r="G238" s="23"/>
      <c r="H238" s="22"/>
      <c r="I238" s="23"/>
      <c r="J238" s="24"/>
      <c r="K238" s="21"/>
      <c r="L238" s="25"/>
      <c r="M238" s="25"/>
      <c r="N238" s="22"/>
      <c r="O238" s="23"/>
      <c r="P238" s="20"/>
      <c r="Q238" s="23"/>
      <c r="R238" s="24"/>
      <c r="S238" s="24"/>
    </row>
    <row r="239" spans="1:19" s="19" customFormat="1">
      <c r="A239" s="18" t="s">
        <v>186</v>
      </c>
      <c r="B239" s="19" t="s">
        <v>187</v>
      </c>
      <c r="C239" s="20"/>
      <c r="D239" s="21" t="s">
        <v>41</v>
      </c>
      <c r="E239" s="26"/>
      <c r="F239" s="22">
        <v>1</v>
      </c>
      <c r="G239" s="23" t="s">
        <v>20</v>
      </c>
      <c r="H239" s="22">
        <v>5</v>
      </c>
      <c r="I239" s="23" t="s">
        <v>41</v>
      </c>
      <c r="J239" s="24">
        <v>475000</v>
      </c>
      <c r="K239" s="21" t="s">
        <v>41</v>
      </c>
      <c r="L239" s="25"/>
      <c r="M239" s="25"/>
      <c r="N239" s="22"/>
      <c r="O239" s="23" t="s">
        <v>41</v>
      </c>
      <c r="P239" s="20">
        <f>(C239+(E239*F239*H239))-N239</f>
        <v>0</v>
      </c>
      <c r="Q239" s="23" t="s">
        <v>41</v>
      </c>
      <c r="R239" s="24">
        <f>P239*(J239-(J239*L239)-((J239-(J239*L239))*M239))</f>
        <v>0</v>
      </c>
      <c r="S239" s="24">
        <f t="shared" si="64"/>
        <v>0</v>
      </c>
    </row>
    <row r="240" spans="1:19" s="19" customFormat="1">
      <c r="A240" s="18"/>
      <c r="C240" s="20"/>
      <c r="D240" s="21"/>
      <c r="E240" s="26"/>
      <c r="F240" s="22"/>
      <c r="G240" s="23"/>
      <c r="H240" s="22"/>
      <c r="I240" s="23"/>
      <c r="J240" s="24"/>
      <c r="K240" s="21"/>
      <c r="L240" s="25"/>
      <c r="M240" s="25"/>
      <c r="N240" s="22"/>
      <c r="O240" s="23"/>
      <c r="P240" s="20"/>
      <c r="Q240" s="23"/>
      <c r="R240" s="24"/>
      <c r="S240" s="24"/>
    </row>
    <row r="241" spans="1:19" s="19" customFormat="1">
      <c r="A241" s="18" t="s">
        <v>720</v>
      </c>
      <c r="B241" s="19" t="s">
        <v>18</v>
      </c>
      <c r="C241" s="20"/>
      <c r="D241" s="21" t="s">
        <v>157</v>
      </c>
      <c r="E241" s="26"/>
      <c r="F241" s="22">
        <v>8</v>
      </c>
      <c r="G241" s="23" t="s">
        <v>33</v>
      </c>
      <c r="H241" s="22">
        <v>12</v>
      </c>
      <c r="I241" s="23" t="s">
        <v>157</v>
      </c>
      <c r="J241" s="24">
        <v>26800</v>
      </c>
      <c r="K241" s="21" t="s">
        <v>157</v>
      </c>
      <c r="L241" s="25">
        <v>0.125</v>
      </c>
      <c r="M241" s="25">
        <v>0.05</v>
      </c>
      <c r="N241" s="22"/>
      <c r="O241" s="23" t="s">
        <v>157</v>
      </c>
      <c r="P241" s="20">
        <f>(C241+(E241*F241*H241))-N241</f>
        <v>0</v>
      </c>
      <c r="Q241" s="23" t="s">
        <v>157</v>
      </c>
      <c r="R241" s="24">
        <f>P241*(J241-(J241*L241)-((J241-(J241*L241))*M241))</f>
        <v>0</v>
      </c>
      <c r="S241" s="24">
        <f t="shared" si="64"/>
        <v>0</v>
      </c>
    </row>
    <row r="242" spans="1:19" s="19" customFormat="1">
      <c r="A242" s="18" t="s">
        <v>188</v>
      </c>
      <c r="B242" s="19" t="s">
        <v>18</v>
      </c>
      <c r="C242" s="20"/>
      <c r="D242" s="21" t="s">
        <v>157</v>
      </c>
      <c r="E242" s="26"/>
      <c r="F242" s="22">
        <v>6</v>
      </c>
      <c r="G242" s="23" t="s">
        <v>33</v>
      </c>
      <c r="H242" s="22">
        <v>12</v>
      </c>
      <c r="I242" s="23" t="s">
        <v>157</v>
      </c>
      <c r="J242" s="24">
        <v>41500</v>
      </c>
      <c r="K242" s="21" t="s">
        <v>157</v>
      </c>
      <c r="L242" s="25">
        <v>0.125</v>
      </c>
      <c r="M242" s="25">
        <v>0.05</v>
      </c>
      <c r="N242" s="22"/>
      <c r="O242" s="23" t="s">
        <v>157</v>
      </c>
      <c r="P242" s="20">
        <f>(C242+(E242*F242*H242))-N242</f>
        <v>0</v>
      </c>
      <c r="Q242" s="23" t="s">
        <v>157</v>
      </c>
      <c r="R242" s="24">
        <f>P242*(J242-(J242*L242)-((J242-(J242*L242))*M242))</f>
        <v>0</v>
      </c>
      <c r="S242" s="24">
        <f t="shared" si="64"/>
        <v>0</v>
      </c>
    </row>
    <row r="243" spans="1:19" s="19" customFormat="1">
      <c r="A243" s="18"/>
      <c r="C243" s="20"/>
      <c r="D243" s="21"/>
      <c r="E243" s="26"/>
      <c r="F243" s="22"/>
      <c r="G243" s="23"/>
      <c r="H243" s="22"/>
      <c r="I243" s="23"/>
      <c r="J243" s="24"/>
      <c r="K243" s="21"/>
      <c r="L243" s="25"/>
      <c r="M243" s="25"/>
      <c r="N243" s="22"/>
      <c r="O243" s="23"/>
      <c r="P243" s="20"/>
      <c r="Q243" s="23"/>
      <c r="R243" s="24"/>
      <c r="S243" s="24"/>
    </row>
    <row r="244" spans="1:19" s="19" customFormat="1" ht="15.75">
      <c r="A244" s="44" t="s">
        <v>189</v>
      </c>
      <c r="C244" s="20"/>
      <c r="D244" s="21"/>
      <c r="E244" s="26"/>
      <c r="F244" s="22"/>
      <c r="G244" s="23"/>
      <c r="H244" s="22"/>
      <c r="I244" s="23"/>
      <c r="J244" s="24"/>
      <c r="K244" s="21"/>
      <c r="L244" s="25"/>
      <c r="M244" s="25"/>
      <c r="N244" s="22"/>
      <c r="O244" s="23"/>
      <c r="P244" s="20"/>
      <c r="Q244" s="23"/>
      <c r="R244" s="24"/>
      <c r="S244" s="24"/>
    </row>
    <row r="245" spans="1:19" s="19" customFormat="1">
      <c r="A245" s="88" t="s">
        <v>190</v>
      </c>
      <c r="C245" s="20"/>
      <c r="D245" s="21"/>
      <c r="E245" s="26"/>
      <c r="F245" s="22"/>
      <c r="G245" s="23"/>
      <c r="H245" s="22"/>
      <c r="I245" s="23"/>
      <c r="J245" s="24"/>
      <c r="K245" s="21"/>
      <c r="L245" s="25"/>
      <c r="M245" s="25"/>
      <c r="N245" s="22"/>
      <c r="O245" s="23"/>
      <c r="P245" s="20"/>
      <c r="Q245" s="23"/>
      <c r="R245" s="24"/>
      <c r="S245" s="24"/>
    </row>
    <row r="246" spans="1:19" s="19" customFormat="1">
      <c r="A246" s="18" t="s">
        <v>698</v>
      </c>
      <c r="B246" s="19" t="s">
        <v>18</v>
      </c>
      <c r="C246" s="20"/>
      <c r="D246" s="21" t="s">
        <v>41</v>
      </c>
      <c r="E246" s="26"/>
      <c r="F246" s="22">
        <v>1</v>
      </c>
      <c r="G246" s="23" t="s">
        <v>20</v>
      </c>
      <c r="H246" s="22">
        <v>24</v>
      </c>
      <c r="I246" s="23" t="s">
        <v>41</v>
      </c>
      <c r="J246" s="24">
        <v>27600</v>
      </c>
      <c r="K246" s="21" t="s">
        <v>41</v>
      </c>
      <c r="L246" s="25">
        <v>0.125</v>
      </c>
      <c r="M246" s="25">
        <v>0.05</v>
      </c>
      <c r="N246" s="22"/>
      <c r="O246" s="23" t="s">
        <v>41</v>
      </c>
      <c r="P246" s="20">
        <f t="shared" ref="P246:P251" si="77">(C246+(E246*F246*H246))-N246</f>
        <v>0</v>
      </c>
      <c r="Q246" s="23" t="s">
        <v>41</v>
      </c>
      <c r="R246" s="24">
        <f t="shared" ref="R246:R251" si="78">P246*(J246-(J246*L246)-((J246-(J246*L246))*M246))</f>
        <v>0</v>
      </c>
      <c r="S246" s="24">
        <f t="shared" ref="S246" si="79">R246/1.11</f>
        <v>0</v>
      </c>
    </row>
    <row r="247" spans="1:19" s="19" customFormat="1">
      <c r="A247" s="18" t="s">
        <v>191</v>
      </c>
      <c r="B247" s="19" t="s">
        <v>18</v>
      </c>
      <c r="C247" s="20"/>
      <c r="D247" s="21" t="s">
        <v>41</v>
      </c>
      <c r="E247" s="26"/>
      <c r="F247" s="22">
        <v>1</v>
      </c>
      <c r="G247" s="23" t="s">
        <v>20</v>
      </c>
      <c r="H247" s="22">
        <v>24</v>
      </c>
      <c r="I247" s="23" t="s">
        <v>41</v>
      </c>
      <c r="J247" s="24">
        <v>73200</v>
      </c>
      <c r="K247" s="21" t="s">
        <v>41</v>
      </c>
      <c r="L247" s="25">
        <v>0.125</v>
      </c>
      <c r="M247" s="25">
        <v>0.05</v>
      </c>
      <c r="N247" s="22"/>
      <c r="O247" s="23" t="s">
        <v>41</v>
      </c>
      <c r="P247" s="20">
        <f t="shared" si="77"/>
        <v>0</v>
      </c>
      <c r="Q247" s="23" t="s">
        <v>41</v>
      </c>
      <c r="R247" s="24">
        <f t="shared" si="78"/>
        <v>0</v>
      </c>
      <c r="S247" s="24">
        <f t="shared" si="64"/>
        <v>0</v>
      </c>
    </row>
    <row r="248" spans="1:19" s="19" customFormat="1">
      <c r="A248" s="18" t="s">
        <v>192</v>
      </c>
      <c r="B248" s="19" t="s">
        <v>18</v>
      </c>
      <c r="C248" s="20"/>
      <c r="D248" s="21" t="s">
        <v>41</v>
      </c>
      <c r="E248" s="26"/>
      <c r="F248" s="22">
        <v>1</v>
      </c>
      <c r="G248" s="23" t="s">
        <v>20</v>
      </c>
      <c r="H248" s="22">
        <v>48</v>
      </c>
      <c r="I248" s="23" t="s">
        <v>41</v>
      </c>
      <c r="J248" s="24">
        <v>51600</v>
      </c>
      <c r="K248" s="21" t="s">
        <v>41</v>
      </c>
      <c r="L248" s="25">
        <v>0.125</v>
      </c>
      <c r="M248" s="25">
        <v>0.05</v>
      </c>
      <c r="N248" s="22"/>
      <c r="O248" s="23" t="s">
        <v>41</v>
      </c>
      <c r="P248" s="20">
        <f t="shared" si="77"/>
        <v>0</v>
      </c>
      <c r="Q248" s="23" t="s">
        <v>41</v>
      </c>
      <c r="R248" s="24">
        <f t="shared" si="78"/>
        <v>0</v>
      </c>
      <c r="S248" s="24">
        <f t="shared" si="64"/>
        <v>0</v>
      </c>
    </row>
    <row r="249" spans="1:19" s="19" customFormat="1">
      <c r="A249" s="18" t="s">
        <v>193</v>
      </c>
      <c r="B249" s="19" t="s">
        <v>18</v>
      </c>
      <c r="C249" s="20"/>
      <c r="D249" s="21" t="s">
        <v>41</v>
      </c>
      <c r="E249" s="26"/>
      <c r="F249" s="22">
        <v>1</v>
      </c>
      <c r="G249" s="23" t="s">
        <v>20</v>
      </c>
      <c r="H249" s="22">
        <v>48</v>
      </c>
      <c r="I249" s="23" t="s">
        <v>41</v>
      </c>
      <c r="J249" s="24">
        <v>55800</v>
      </c>
      <c r="K249" s="21" t="s">
        <v>41</v>
      </c>
      <c r="L249" s="25">
        <v>0.125</v>
      </c>
      <c r="M249" s="25">
        <v>0.05</v>
      </c>
      <c r="N249" s="22"/>
      <c r="O249" s="23" t="s">
        <v>41</v>
      </c>
      <c r="P249" s="20">
        <f t="shared" si="77"/>
        <v>0</v>
      </c>
      <c r="Q249" s="23" t="s">
        <v>41</v>
      </c>
      <c r="R249" s="24">
        <f t="shared" si="78"/>
        <v>0</v>
      </c>
      <c r="S249" s="24">
        <f t="shared" si="64"/>
        <v>0</v>
      </c>
    </row>
    <row r="250" spans="1:19" s="19" customFormat="1">
      <c r="A250" s="18" t="s">
        <v>719</v>
      </c>
      <c r="B250" s="19" t="s">
        <v>18</v>
      </c>
      <c r="C250" s="20"/>
      <c r="D250" s="21" t="s">
        <v>41</v>
      </c>
      <c r="E250" s="26"/>
      <c r="F250" s="22">
        <v>1</v>
      </c>
      <c r="G250" s="23" t="s">
        <v>20</v>
      </c>
      <c r="H250" s="22">
        <f>288/12</f>
        <v>24</v>
      </c>
      <c r="I250" s="23" t="s">
        <v>41</v>
      </c>
      <c r="J250" s="24">
        <f>10600*12</f>
        <v>127200</v>
      </c>
      <c r="K250" s="21" t="s">
        <v>41</v>
      </c>
      <c r="L250" s="25">
        <v>0.125</v>
      </c>
      <c r="M250" s="25">
        <v>0.05</v>
      </c>
      <c r="N250" s="22"/>
      <c r="O250" s="23" t="s">
        <v>41</v>
      </c>
      <c r="P250" s="20">
        <f t="shared" si="77"/>
        <v>0</v>
      </c>
      <c r="Q250" s="23" t="s">
        <v>41</v>
      </c>
      <c r="R250" s="24">
        <f t="shared" si="78"/>
        <v>0</v>
      </c>
      <c r="S250" s="24">
        <f t="shared" si="64"/>
        <v>0</v>
      </c>
    </row>
    <row r="251" spans="1:19" s="19" customFormat="1">
      <c r="A251" s="18" t="s">
        <v>194</v>
      </c>
      <c r="B251" s="19" t="s">
        <v>18</v>
      </c>
      <c r="C251" s="20"/>
      <c r="D251" s="21" t="s">
        <v>41</v>
      </c>
      <c r="E251" s="26">
        <v>6</v>
      </c>
      <c r="F251" s="22">
        <v>1</v>
      </c>
      <c r="G251" s="23" t="s">
        <v>20</v>
      </c>
      <c r="H251" s="22">
        <v>24</v>
      </c>
      <c r="I251" s="23" t="s">
        <v>41</v>
      </c>
      <c r="J251" s="24">
        <v>162000</v>
      </c>
      <c r="K251" s="21" t="s">
        <v>41</v>
      </c>
      <c r="L251" s="25">
        <v>0.125</v>
      </c>
      <c r="M251" s="25">
        <v>0.05</v>
      </c>
      <c r="N251" s="22"/>
      <c r="O251" s="23" t="s">
        <v>41</v>
      </c>
      <c r="P251" s="20">
        <f t="shared" si="77"/>
        <v>144</v>
      </c>
      <c r="Q251" s="23" t="s">
        <v>41</v>
      </c>
      <c r="R251" s="24">
        <f t="shared" si="78"/>
        <v>19391400</v>
      </c>
      <c r="S251" s="24">
        <f t="shared" si="64"/>
        <v>17469729.729729727</v>
      </c>
    </row>
    <row r="252" spans="1:19" s="19" customFormat="1">
      <c r="A252" s="18"/>
      <c r="C252" s="20"/>
      <c r="D252" s="21"/>
      <c r="E252" s="26"/>
      <c r="F252" s="22"/>
      <c r="G252" s="23"/>
      <c r="H252" s="22"/>
      <c r="I252" s="23"/>
      <c r="J252" s="24"/>
      <c r="K252" s="21"/>
      <c r="L252" s="25"/>
      <c r="M252" s="25"/>
      <c r="N252" s="22"/>
      <c r="O252" s="23"/>
      <c r="P252" s="20"/>
      <c r="Q252" s="23"/>
      <c r="R252" s="24"/>
      <c r="S252" s="24"/>
    </row>
    <row r="253" spans="1:19" s="19" customFormat="1">
      <c r="A253" s="18" t="s">
        <v>195</v>
      </c>
      <c r="B253" s="19" t="s">
        <v>25</v>
      </c>
      <c r="C253" s="20"/>
      <c r="D253" s="21" t="s">
        <v>41</v>
      </c>
      <c r="E253" s="26">
        <v>2</v>
      </c>
      <c r="F253" s="22">
        <v>1</v>
      </c>
      <c r="G253" s="23" t="s">
        <v>20</v>
      </c>
      <c r="H253" s="22">
        <v>30</v>
      </c>
      <c r="I253" s="23" t="s">
        <v>41</v>
      </c>
      <c r="J253" s="24">
        <f>1566000/30</f>
        <v>52200</v>
      </c>
      <c r="K253" s="21" t="s">
        <v>41</v>
      </c>
      <c r="L253" s="25"/>
      <c r="M253" s="25">
        <v>0.17</v>
      </c>
      <c r="N253" s="22"/>
      <c r="O253" s="23" t="s">
        <v>41</v>
      </c>
      <c r="P253" s="20">
        <f>(C253+(E253*F253*H253))-N253</f>
        <v>60</v>
      </c>
      <c r="Q253" s="23" t="s">
        <v>41</v>
      </c>
      <c r="R253" s="24">
        <f>P253*(J253-(J253*L253)-((J253-(J253*L253))*M253))</f>
        <v>2599560</v>
      </c>
      <c r="S253" s="24">
        <f t="shared" si="64"/>
        <v>2341945.9459459456</v>
      </c>
    </row>
    <row r="254" spans="1:19" s="19" customFormat="1">
      <c r="A254" s="18" t="s">
        <v>196</v>
      </c>
      <c r="B254" s="19" t="s">
        <v>25</v>
      </c>
      <c r="C254" s="20"/>
      <c r="D254" s="21" t="s">
        <v>41</v>
      </c>
      <c r="E254" s="26"/>
      <c r="F254" s="22">
        <v>1</v>
      </c>
      <c r="G254" s="23" t="s">
        <v>20</v>
      </c>
      <c r="H254" s="22">
        <v>30</v>
      </c>
      <c r="I254" s="23" t="s">
        <v>41</v>
      </c>
      <c r="J254" s="24">
        <f>1710000/30</f>
        <v>57000</v>
      </c>
      <c r="K254" s="21" t="s">
        <v>41</v>
      </c>
      <c r="L254" s="25"/>
      <c r="M254" s="25">
        <v>0.17</v>
      </c>
      <c r="N254" s="22"/>
      <c r="O254" s="23" t="s">
        <v>41</v>
      </c>
      <c r="P254" s="20">
        <f>(C254+(E254*F254*H254))-N254</f>
        <v>0</v>
      </c>
      <c r="Q254" s="23" t="s">
        <v>41</v>
      </c>
      <c r="R254" s="24">
        <f>P254*(J254-(J254*L254)-((J254-(J254*L254))*M254))</f>
        <v>0</v>
      </c>
      <c r="S254" s="24">
        <f t="shared" si="64"/>
        <v>0</v>
      </c>
    </row>
    <row r="255" spans="1:19" s="19" customFormat="1">
      <c r="A255" s="18" t="s">
        <v>197</v>
      </c>
      <c r="B255" s="19" t="s">
        <v>25</v>
      </c>
      <c r="C255" s="20"/>
      <c r="D255" s="21" t="s">
        <v>41</v>
      </c>
      <c r="E255" s="26"/>
      <c r="F255" s="22">
        <v>1</v>
      </c>
      <c r="G255" s="23" t="s">
        <v>20</v>
      </c>
      <c r="H255" s="22">
        <v>20</v>
      </c>
      <c r="I255" s="23" t="s">
        <v>41</v>
      </c>
      <c r="J255" s="24">
        <f>2952000/20</f>
        <v>147600</v>
      </c>
      <c r="K255" s="21" t="s">
        <v>41</v>
      </c>
      <c r="L255" s="25"/>
      <c r="M255" s="25">
        <v>0.17</v>
      </c>
      <c r="N255" s="22"/>
      <c r="O255" s="23" t="s">
        <v>41</v>
      </c>
      <c r="P255" s="20">
        <f>(C255+(E255*F255*H255))-N255</f>
        <v>0</v>
      </c>
      <c r="Q255" s="23" t="s">
        <v>41</v>
      </c>
      <c r="R255" s="24">
        <f>P255*(J255-(J255*L255)-((J255-(J255*L255))*M255))</f>
        <v>0</v>
      </c>
      <c r="S255" s="24">
        <f t="shared" si="64"/>
        <v>0</v>
      </c>
    </row>
    <row r="256" spans="1:19" s="19" customFormat="1">
      <c r="A256" s="18"/>
      <c r="C256" s="20"/>
      <c r="D256" s="21"/>
      <c r="E256" s="26"/>
      <c r="F256" s="22"/>
      <c r="G256" s="23"/>
      <c r="H256" s="22"/>
      <c r="I256" s="23"/>
      <c r="J256" s="24"/>
      <c r="K256" s="21"/>
      <c r="L256" s="25"/>
      <c r="M256" s="25"/>
      <c r="N256" s="22"/>
      <c r="O256" s="23"/>
      <c r="P256" s="20"/>
      <c r="Q256" s="23"/>
      <c r="R256" s="24"/>
      <c r="S256" s="24"/>
    </row>
    <row r="257" spans="1:19" s="19" customFormat="1">
      <c r="A257" s="18" t="s">
        <v>669</v>
      </c>
      <c r="B257" s="19" t="s">
        <v>604</v>
      </c>
      <c r="C257" s="20"/>
      <c r="D257" s="21" t="s">
        <v>41</v>
      </c>
      <c r="E257" s="26"/>
      <c r="F257" s="22">
        <v>1</v>
      </c>
      <c r="G257" s="23" t="s">
        <v>20</v>
      </c>
      <c r="H257" s="22">
        <v>48</v>
      </c>
      <c r="I257" s="23" t="s">
        <v>41</v>
      </c>
      <c r="J257" s="24">
        <v>60600</v>
      </c>
      <c r="K257" s="21" t="s">
        <v>41</v>
      </c>
      <c r="L257" s="25">
        <v>0.15</v>
      </c>
      <c r="M257" s="25">
        <v>0.03</v>
      </c>
      <c r="N257" s="22"/>
      <c r="O257" s="23" t="s">
        <v>41</v>
      </c>
      <c r="P257" s="20">
        <f>(C257+(E257*F257*H257))-N257</f>
        <v>0</v>
      </c>
      <c r="Q257" s="23" t="s">
        <v>41</v>
      </c>
      <c r="R257" s="24">
        <f>P257*(J257-(J257*L257)-((J257-(J257*L257))*M257))</f>
        <v>0</v>
      </c>
      <c r="S257" s="24">
        <f t="shared" si="64"/>
        <v>0</v>
      </c>
    </row>
    <row r="258" spans="1:19" s="19" customFormat="1">
      <c r="A258" s="18"/>
      <c r="C258" s="20"/>
      <c r="D258" s="21"/>
      <c r="E258" s="26"/>
      <c r="F258" s="22"/>
      <c r="G258" s="23"/>
      <c r="H258" s="22"/>
      <c r="I258" s="23"/>
      <c r="J258" s="24"/>
      <c r="K258" s="21"/>
      <c r="L258" s="25"/>
      <c r="M258" s="25"/>
      <c r="N258" s="22"/>
      <c r="O258" s="23"/>
      <c r="P258" s="20"/>
      <c r="Q258" s="23"/>
      <c r="R258" s="24"/>
      <c r="S258" s="24"/>
    </row>
    <row r="259" spans="1:19" s="19" customFormat="1">
      <c r="A259" s="18" t="s">
        <v>798</v>
      </c>
      <c r="B259" s="18" t="s">
        <v>177</v>
      </c>
      <c r="C259" s="60"/>
      <c r="D259" s="61" t="s">
        <v>41</v>
      </c>
      <c r="E259" s="62"/>
      <c r="F259" s="63">
        <v>1</v>
      </c>
      <c r="G259" s="58" t="s">
        <v>20</v>
      </c>
      <c r="H259" s="63">
        <v>120</v>
      </c>
      <c r="I259" s="58" t="s">
        <v>41</v>
      </c>
      <c r="J259" s="29">
        <v>7500</v>
      </c>
      <c r="K259" s="61" t="s">
        <v>41</v>
      </c>
      <c r="L259" s="64">
        <v>0.05</v>
      </c>
      <c r="M259" s="64"/>
      <c r="N259" s="63"/>
      <c r="O259" s="58" t="s">
        <v>41</v>
      </c>
      <c r="P259" s="60">
        <f>(C259+(E259*F259*H259))-N259</f>
        <v>0</v>
      </c>
      <c r="Q259" s="58" t="s">
        <v>41</v>
      </c>
      <c r="R259" s="29">
        <f>P259*(J259-(J259*L259)-((J259-(J259*L259))*M259))</f>
        <v>0</v>
      </c>
      <c r="S259" s="29">
        <f t="shared" ref="S259:S260" si="80">R259/1.11</f>
        <v>0</v>
      </c>
    </row>
    <row r="260" spans="1:19" s="19" customFormat="1">
      <c r="A260" s="18" t="s">
        <v>804</v>
      </c>
      <c r="B260" s="18" t="s">
        <v>177</v>
      </c>
      <c r="C260" s="60"/>
      <c r="D260" s="61" t="s">
        <v>41</v>
      </c>
      <c r="E260" s="62"/>
      <c r="F260" s="63">
        <v>1</v>
      </c>
      <c r="G260" s="58" t="s">
        <v>20</v>
      </c>
      <c r="H260" s="63">
        <v>20</v>
      </c>
      <c r="I260" s="58" t="s">
        <v>41</v>
      </c>
      <c r="J260" s="29">
        <f>5500*12</f>
        <v>66000</v>
      </c>
      <c r="K260" s="61" t="s">
        <v>41</v>
      </c>
      <c r="L260" s="64">
        <v>0.05</v>
      </c>
      <c r="M260" s="64"/>
      <c r="N260" s="63"/>
      <c r="O260" s="58" t="s">
        <v>41</v>
      </c>
      <c r="P260" s="60">
        <f>(C260+(E260*F260*H260))-N260</f>
        <v>0</v>
      </c>
      <c r="Q260" s="58" t="s">
        <v>41</v>
      </c>
      <c r="R260" s="29">
        <f>P260*(J260-(J260*L260)-((J260-(J260*L260))*M260))</f>
        <v>0</v>
      </c>
      <c r="S260" s="29">
        <f t="shared" si="80"/>
        <v>0</v>
      </c>
    </row>
    <row r="261" spans="1:19" s="19" customFormat="1">
      <c r="A261" s="18"/>
      <c r="C261" s="20"/>
      <c r="D261" s="21"/>
      <c r="E261" s="26"/>
      <c r="F261" s="22"/>
      <c r="G261" s="23"/>
      <c r="H261" s="22"/>
      <c r="I261" s="23"/>
      <c r="J261" s="24"/>
      <c r="K261" s="21"/>
      <c r="L261" s="25"/>
      <c r="M261" s="25"/>
      <c r="N261" s="22"/>
      <c r="O261" s="23"/>
      <c r="P261" s="20"/>
      <c r="Q261" s="23"/>
      <c r="R261" s="24"/>
      <c r="S261" s="24"/>
    </row>
    <row r="262" spans="1:19" s="19" customFormat="1">
      <c r="A262" s="88" t="s">
        <v>198</v>
      </c>
      <c r="C262" s="20"/>
      <c r="D262" s="21"/>
      <c r="E262" s="26"/>
      <c r="F262" s="22"/>
      <c r="G262" s="23"/>
      <c r="H262" s="22"/>
      <c r="I262" s="23"/>
      <c r="J262" s="24"/>
      <c r="K262" s="21"/>
      <c r="L262" s="25"/>
      <c r="M262" s="25"/>
      <c r="N262" s="22"/>
      <c r="O262" s="23"/>
      <c r="P262" s="20"/>
      <c r="Q262" s="23"/>
      <c r="R262" s="24"/>
      <c r="S262" s="24"/>
    </row>
    <row r="263" spans="1:19" s="19" customFormat="1">
      <c r="A263" s="18" t="s">
        <v>199</v>
      </c>
      <c r="B263" s="19" t="s">
        <v>18</v>
      </c>
      <c r="C263" s="20"/>
      <c r="D263" s="21" t="s">
        <v>41</v>
      </c>
      <c r="E263" s="26"/>
      <c r="F263" s="22">
        <v>1</v>
      </c>
      <c r="G263" s="23" t="s">
        <v>20</v>
      </c>
      <c r="H263" s="22">
        <v>120</v>
      </c>
      <c r="I263" s="23" t="s">
        <v>41</v>
      </c>
      <c r="J263" s="24">
        <v>24600</v>
      </c>
      <c r="K263" s="21" t="s">
        <v>41</v>
      </c>
      <c r="L263" s="25">
        <v>0.125</v>
      </c>
      <c r="M263" s="25">
        <v>0.05</v>
      </c>
      <c r="N263" s="22"/>
      <c r="O263" s="23" t="s">
        <v>41</v>
      </c>
      <c r="P263" s="20">
        <f>(C263+(E263*F263*H263))-N263</f>
        <v>0</v>
      </c>
      <c r="Q263" s="23" t="s">
        <v>41</v>
      </c>
      <c r="R263" s="24">
        <f>P263*(J263-(J263*L263)-((J263-(J263*L263))*M263))</f>
        <v>0</v>
      </c>
      <c r="S263" s="24">
        <f t="shared" si="64"/>
        <v>0</v>
      </c>
    </row>
    <row r="264" spans="1:19" s="19" customFormat="1">
      <c r="A264" s="18" t="s">
        <v>858</v>
      </c>
      <c r="B264" s="19" t="s">
        <v>18</v>
      </c>
      <c r="C264" s="20">
        <f>288/12</f>
        <v>24</v>
      </c>
      <c r="D264" s="21" t="s">
        <v>41</v>
      </c>
      <c r="E264" s="26"/>
      <c r="F264" s="22">
        <v>1</v>
      </c>
      <c r="G264" s="23" t="s">
        <v>20</v>
      </c>
      <c r="H264" s="22">
        <v>40</v>
      </c>
      <c r="I264" s="23" t="s">
        <v>41</v>
      </c>
      <c r="J264" s="24">
        <v>0</v>
      </c>
      <c r="K264" s="21" t="s">
        <v>41</v>
      </c>
      <c r="L264" s="25">
        <v>0</v>
      </c>
      <c r="M264" s="25">
        <v>0</v>
      </c>
      <c r="N264" s="22"/>
      <c r="O264" s="23" t="s">
        <v>41</v>
      </c>
      <c r="P264" s="20">
        <f>(C264+(E264*F264*H264))-N264</f>
        <v>24</v>
      </c>
      <c r="Q264" s="23" t="s">
        <v>41</v>
      </c>
      <c r="R264" s="24">
        <f>P264*(J264-(J264*L264)-((J264-(J264*L264))*M264))</f>
        <v>0</v>
      </c>
      <c r="S264" s="24">
        <f t="shared" ref="S264" si="81">R264/1.11</f>
        <v>0</v>
      </c>
    </row>
    <row r="265" spans="1:19" s="19" customFormat="1">
      <c r="A265" s="18" t="s">
        <v>759</v>
      </c>
      <c r="B265" s="19" t="s">
        <v>18</v>
      </c>
      <c r="C265" s="20"/>
      <c r="D265" s="21" t="s">
        <v>41</v>
      </c>
      <c r="E265" s="26"/>
      <c r="F265" s="22">
        <v>1</v>
      </c>
      <c r="G265" s="23" t="s">
        <v>20</v>
      </c>
      <c r="H265" s="22">
        <v>40</v>
      </c>
      <c r="I265" s="23" t="s">
        <v>41</v>
      </c>
      <c r="J265" s="24">
        <v>49200</v>
      </c>
      <c r="K265" s="21" t="s">
        <v>41</v>
      </c>
      <c r="L265" s="25">
        <v>0.125</v>
      </c>
      <c r="M265" s="25">
        <v>0.05</v>
      </c>
      <c r="N265" s="22"/>
      <c r="O265" s="23" t="s">
        <v>41</v>
      </c>
      <c r="P265" s="20">
        <f>(C265+(E265*F265*H265))-N265</f>
        <v>0</v>
      </c>
      <c r="Q265" s="23" t="s">
        <v>41</v>
      </c>
      <c r="R265" s="24">
        <f>P265*(J265-(J265*L265)-((J265-(J265*L265))*M265))</f>
        <v>0</v>
      </c>
      <c r="S265" s="24">
        <f t="shared" si="64"/>
        <v>0</v>
      </c>
    </row>
    <row r="266" spans="1:19" s="19" customFormat="1">
      <c r="A266" s="18"/>
      <c r="C266" s="20"/>
      <c r="D266" s="21"/>
      <c r="E266" s="26"/>
      <c r="F266" s="22"/>
      <c r="G266" s="23"/>
      <c r="H266" s="22"/>
      <c r="I266" s="23"/>
      <c r="J266" s="24"/>
      <c r="K266" s="21"/>
      <c r="L266" s="25"/>
      <c r="M266" s="25"/>
      <c r="N266" s="22"/>
      <c r="O266" s="23"/>
      <c r="P266" s="20"/>
      <c r="Q266" s="23"/>
      <c r="R266" s="24"/>
      <c r="S266" s="24"/>
    </row>
    <row r="267" spans="1:19" s="19" customFormat="1">
      <c r="A267" s="18" t="s">
        <v>200</v>
      </c>
      <c r="B267" s="19" t="s">
        <v>25</v>
      </c>
      <c r="C267" s="20"/>
      <c r="D267" s="21" t="s">
        <v>41</v>
      </c>
      <c r="E267" s="26">
        <v>5</v>
      </c>
      <c r="F267" s="22">
        <v>1</v>
      </c>
      <c r="G267" s="23" t="s">
        <v>20</v>
      </c>
      <c r="H267" s="22">
        <v>120</v>
      </c>
      <c r="I267" s="23" t="s">
        <v>41</v>
      </c>
      <c r="J267" s="24">
        <f>3888000/120</f>
        <v>32400</v>
      </c>
      <c r="K267" s="21" t="s">
        <v>41</v>
      </c>
      <c r="L267" s="25"/>
      <c r="M267" s="25">
        <v>0.17</v>
      </c>
      <c r="N267" s="22"/>
      <c r="O267" s="23" t="s">
        <v>41</v>
      </c>
      <c r="P267" s="20">
        <f>(C267+(E267*F267*H267))-N267</f>
        <v>600</v>
      </c>
      <c r="Q267" s="23" t="s">
        <v>41</v>
      </c>
      <c r="R267" s="24">
        <f>P267*(J267-(J267*L267)-((J267-(J267*L267))*M267))</f>
        <v>16135200</v>
      </c>
      <c r="S267" s="24">
        <f t="shared" si="64"/>
        <v>14536216.216216216</v>
      </c>
    </row>
    <row r="268" spans="1:19" s="19" customFormat="1">
      <c r="A268" s="18" t="s">
        <v>201</v>
      </c>
      <c r="B268" s="19" t="s">
        <v>25</v>
      </c>
      <c r="C268" s="20"/>
      <c r="D268" s="21" t="s">
        <v>41</v>
      </c>
      <c r="E268" s="26">
        <v>12</v>
      </c>
      <c r="F268" s="22">
        <v>1</v>
      </c>
      <c r="G268" s="23" t="s">
        <v>20</v>
      </c>
      <c r="H268" s="22">
        <v>60</v>
      </c>
      <c r="I268" s="23" t="s">
        <v>41</v>
      </c>
      <c r="J268" s="24">
        <f>3888000/60</f>
        <v>64800</v>
      </c>
      <c r="K268" s="21" t="s">
        <v>41</v>
      </c>
      <c r="L268" s="25"/>
      <c r="M268" s="25">
        <v>0.17</v>
      </c>
      <c r="N268" s="22"/>
      <c r="O268" s="23" t="s">
        <v>41</v>
      </c>
      <c r="P268" s="20">
        <f>(C268+(E268*F268*H268))-N268</f>
        <v>720</v>
      </c>
      <c r="Q268" s="23" t="s">
        <v>41</v>
      </c>
      <c r="R268" s="24">
        <f>P268*(J268-(J268*L268)-((J268-(J268*L268))*M268))</f>
        <v>38724480</v>
      </c>
      <c r="S268" s="24">
        <f t="shared" si="64"/>
        <v>34886918.918918915</v>
      </c>
    </row>
    <row r="269" spans="1:19" s="19" customFormat="1">
      <c r="A269" s="18"/>
      <c r="C269" s="20"/>
      <c r="D269" s="21"/>
      <c r="E269" s="26"/>
      <c r="F269" s="22"/>
      <c r="G269" s="23"/>
      <c r="H269" s="22"/>
      <c r="I269" s="23"/>
      <c r="J269" s="24"/>
      <c r="K269" s="21"/>
      <c r="L269" s="25"/>
      <c r="M269" s="25"/>
      <c r="N269" s="22"/>
      <c r="O269" s="23"/>
      <c r="P269" s="20"/>
      <c r="Q269" s="23"/>
      <c r="R269" s="24"/>
      <c r="S269" s="24"/>
    </row>
    <row r="270" spans="1:19" s="19" customFormat="1">
      <c r="A270" s="88" t="s">
        <v>202</v>
      </c>
      <c r="C270" s="20"/>
      <c r="D270" s="21"/>
      <c r="E270" s="26"/>
      <c r="F270" s="22"/>
      <c r="G270" s="23"/>
      <c r="H270" s="22"/>
      <c r="I270" s="23"/>
      <c r="J270" s="24"/>
      <c r="K270" s="21"/>
      <c r="L270" s="25"/>
      <c r="M270" s="25"/>
      <c r="N270" s="22"/>
      <c r="O270" s="23"/>
      <c r="P270" s="20"/>
      <c r="Q270" s="23"/>
      <c r="R270" s="24"/>
      <c r="S270" s="24"/>
    </row>
    <row r="271" spans="1:19" s="19" customFormat="1">
      <c r="A271" s="18" t="s">
        <v>821</v>
      </c>
      <c r="B271" s="19" t="s">
        <v>18</v>
      </c>
      <c r="C271" s="20"/>
      <c r="D271" s="21" t="s">
        <v>19</v>
      </c>
      <c r="E271" s="26"/>
      <c r="F271" s="22">
        <v>1</v>
      </c>
      <c r="G271" s="23" t="s">
        <v>20</v>
      </c>
      <c r="H271" s="22">
        <v>20</v>
      </c>
      <c r="I271" s="23" t="s">
        <v>19</v>
      </c>
      <c r="J271" s="24">
        <v>124000</v>
      </c>
      <c r="K271" s="21" t="s">
        <v>19</v>
      </c>
      <c r="L271" s="25">
        <v>0.125</v>
      </c>
      <c r="M271" s="25">
        <v>0.05</v>
      </c>
      <c r="N271" s="22"/>
      <c r="O271" s="23" t="s">
        <v>19</v>
      </c>
      <c r="P271" s="20">
        <f>(C271+(E271*F271*H271))-N271</f>
        <v>0</v>
      </c>
      <c r="Q271" s="23" t="s">
        <v>19</v>
      </c>
      <c r="R271" s="24">
        <f>P271*(J271-(J271*L271)-((J271-(J271*L271))*M271))</f>
        <v>0</v>
      </c>
      <c r="S271" s="24">
        <f t="shared" ref="S271" si="82">R271/1.11</f>
        <v>0</v>
      </c>
    </row>
    <row r="272" spans="1:19" s="19" customFormat="1">
      <c r="A272" s="18" t="s">
        <v>203</v>
      </c>
      <c r="B272" s="19" t="s">
        <v>18</v>
      </c>
      <c r="C272" s="20"/>
      <c r="D272" s="21" t="s">
        <v>19</v>
      </c>
      <c r="E272" s="26"/>
      <c r="F272" s="22">
        <v>1</v>
      </c>
      <c r="G272" s="23" t="s">
        <v>20</v>
      </c>
      <c r="H272" s="22">
        <v>5</v>
      </c>
      <c r="I272" s="23" t="s">
        <v>19</v>
      </c>
      <c r="J272" s="24">
        <v>214000</v>
      </c>
      <c r="K272" s="21" t="s">
        <v>19</v>
      </c>
      <c r="L272" s="25">
        <v>0.125</v>
      </c>
      <c r="M272" s="25">
        <v>0.05</v>
      </c>
      <c r="N272" s="22"/>
      <c r="O272" s="23" t="s">
        <v>19</v>
      </c>
      <c r="P272" s="20">
        <f>(C272+(E272*F272*H272))-N272</f>
        <v>0</v>
      </c>
      <c r="Q272" s="23" t="s">
        <v>19</v>
      </c>
      <c r="R272" s="24">
        <f>P272*(J272-(J272*L272)-((J272-(J272*L272))*M272))</f>
        <v>0</v>
      </c>
      <c r="S272" s="24">
        <f t="shared" si="64"/>
        <v>0</v>
      </c>
    </row>
    <row r="273" spans="1:19" s="19" customFormat="1">
      <c r="A273" s="18" t="s">
        <v>204</v>
      </c>
      <c r="B273" s="19" t="s">
        <v>18</v>
      </c>
      <c r="C273" s="20"/>
      <c r="D273" s="21" t="s">
        <v>19</v>
      </c>
      <c r="E273" s="26"/>
      <c r="F273" s="22">
        <v>1</v>
      </c>
      <c r="G273" s="23" t="s">
        <v>20</v>
      </c>
      <c r="H273" s="22">
        <v>5</v>
      </c>
      <c r="I273" s="23" t="s">
        <v>19</v>
      </c>
      <c r="J273" s="24">
        <v>219000</v>
      </c>
      <c r="K273" s="21" t="s">
        <v>19</v>
      </c>
      <c r="L273" s="25">
        <v>0.125</v>
      </c>
      <c r="M273" s="25">
        <v>0.05</v>
      </c>
      <c r="N273" s="22"/>
      <c r="O273" s="23" t="s">
        <v>19</v>
      </c>
      <c r="P273" s="20">
        <f>(C273+(E273*F273*H273))-N273</f>
        <v>0</v>
      </c>
      <c r="Q273" s="23" t="s">
        <v>19</v>
      </c>
      <c r="R273" s="24">
        <f>P273*(J273-(J273*L273)-((J273-(J273*L273))*M273))</f>
        <v>0</v>
      </c>
      <c r="S273" s="24">
        <f t="shared" si="64"/>
        <v>0</v>
      </c>
    </row>
    <row r="274" spans="1:19" s="19" customFormat="1">
      <c r="A274" s="18" t="s">
        <v>205</v>
      </c>
      <c r="B274" s="19" t="s">
        <v>18</v>
      </c>
      <c r="C274" s="20"/>
      <c r="D274" s="21" t="s">
        <v>19</v>
      </c>
      <c r="E274" s="26"/>
      <c r="F274" s="22">
        <v>1</v>
      </c>
      <c r="G274" s="23" t="s">
        <v>20</v>
      </c>
      <c r="H274" s="22">
        <v>4</v>
      </c>
      <c r="I274" s="23" t="s">
        <v>19</v>
      </c>
      <c r="J274" s="24">
        <v>291000</v>
      </c>
      <c r="K274" s="21" t="s">
        <v>19</v>
      </c>
      <c r="L274" s="25">
        <v>0.125</v>
      </c>
      <c r="M274" s="25">
        <v>0.05</v>
      </c>
      <c r="N274" s="22"/>
      <c r="O274" s="23" t="s">
        <v>19</v>
      </c>
      <c r="P274" s="20">
        <f>(C274+(E274*F274*H274))-N274</f>
        <v>0</v>
      </c>
      <c r="Q274" s="23" t="s">
        <v>19</v>
      </c>
      <c r="R274" s="24">
        <f>P274*(J274-(J274*L274)-((J274-(J274*L274))*M274))</f>
        <v>0</v>
      </c>
      <c r="S274" s="24">
        <f t="shared" si="64"/>
        <v>0</v>
      </c>
    </row>
    <row r="275" spans="1:19" s="19" customFormat="1">
      <c r="A275" s="18"/>
      <c r="C275" s="20"/>
      <c r="D275" s="21"/>
      <c r="E275" s="26"/>
      <c r="F275" s="22"/>
      <c r="G275" s="23"/>
      <c r="H275" s="22"/>
      <c r="I275" s="23"/>
      <c r="J275" s="24"/>
      <c r="K275" s="21"/>
      <c r="L275" s="25"/>
      <c r="M275" s="25"/>
      <c r="N275" s="22"/>
      <c r="O275" s="23"/>
      <c r="P275" s="20"/>
      <c r="Q275" s="23"/>
      <c r="R275" s="24"/>
      <c r="S275" s="24"/>
    </row>
    <row r="276" spans="1:19" s="19" customFormat="1">
      <c r="A276" s="18" t="s">
        <v>206</v>
      </c>
      <c r="B276" s="19" t="s">
        <v>25</v>
      </c>
      <c r="C276" s="20"/>
      <c r="D276" s="21" t="s">
        <v>19</v>
      </c>
      <c r="E276" s="26"/>
      <c r="F276" s="22">
        <v>1</v>
      </c>
      <c r="G276" s="23" t="s">
        <v>20</v>
      </c>
      <c r="H276" s="22">
        <v>5</v>
      </c>
      <c r="I276" s="23" t="s">
        <v>19</v>
      </c>
      <c r="J276" s="24">
        <f>1125000/5</f>
        <v>225000</v>
      </c>
      <c r="K276" s="21" t="s">
        <v>19</v>
      </c>
      <c r="L276" s="25"/>
      <c r="M276" s="25">
        <v>0.17</v>
      </c>
      <c r="N276" s="22"/>
      <c r="O276" s="23" t="s">
        <v>19</v>
      </c>
      <c r="P276" s="20">
        <f>(C276+(E276*F276*H276))-N276</f>
        <v>0</v>
      </c>
      <c r="Q276" s="23" t="s">
        <v>19</v>
      </c>
      <c r="R276" s="24">
        <f>P276*(J276-(J276*L276)-((J276-(J276*L276))*M276))</f>
        <v>0</v>
      </c>
      <c r="S276" s="24">
        <f t="shared" si="64"/>
        <v>0</v>
      </c>
    </row>
    <row r="277" spans="1:19" s="19" customFormat="1">
      <c r="A277" s="18" t="s">
        <v>207</v>
      </c>
      <c r="B277" s="19" t="s">
        <v>25</v>
      </c>
      <c r="C277" s="20"/>
      <c r="D277" s="21" t="s">
        <v>19</v>
      </c>
      <c r="E277" s="26"/>
      <c r="F277" s="22">
        <v>1</v>
      </c>
      <c r="G277" s="23" t="s">
        <v>20</v>
      </c>
      <c r="H277" s="22">
        <v>5</v>
      </c>
      <c r="I277" s="23" t="s">
        <v>19</v>
      </c>
      <c r="J277" s="24">
        <f>1125000/5</f>
        <v>225000</v>
      </c>
      <c r="K277" s="21" t="s">
        <v>19</v>
      </c>
      <c r="L277" s="25"/>
      <c r="M277" s="25">
        <v>0.17</v>
      </c>
      <c r="N277" s="22"/>
      <c r="O277" s="23" t="s">
        <v>19</v>
      </c>
      <c r="P277" s="20">
        <f>(C277+(E277*F277*H277))-N277</f>
        <v>0</v>
      </c>
      <c r="Q277" s="23" t="s">
        <v>19</v>
      </c>
      <c r="R277" s="24">
        <f>P277*(J277-(J277*L277)-((J277-(J277*L277))*M277))</f>
        <v>0</v>
      </c>
      <c r="S277" s="24">
        <f t="shared" si="64"/>
        <v>0</v>
      </c>
    </row>
    <row r="278" spans="1:19" s="19" customFormat="1">
      <c r="A278" s="18" t="s">
        <v>208</v>
      </c>
      <c r="B278" s="19" t="s">
        <v>25</v>
      </c>
      <c r="C278" s="20"/>
      <c r="D278" s="21" t="s">
        <v>19</v>
      </c>
      <c r="E278" s="26"/>
      <c r="F278" s="22">
        <v>1</v>
      </c>
      <c r="G278" s="23" t="s">
        <v>20</v>
      </c>
      <c r="H278" s="22">
        <v>4</v>
      </c>
      <c r="I278" s="23" t="s">
        <v>19</v>
      </c>
      <c r="J278" s="24">
        <f>1180000/4</f>
        <v>295000</v>
      </c>
      <c r="K278" s="21" t="s">
        <v>19</v>
      </c>
      <c r="L278" s="25"/>
      <c r="M278" s="25">
        <v>0.17</v>
      </c>
      <c r="N278" s="22"/>
      <c r="O278" s="23" t="s">
        <v>19</v>
      </c>
      <c r="P278" s="20">
        <f>(C278+(E278*F278*H278))-N278</f>
        <v>0</v>
      </c>
      <c r="Q278" s="23" t="s">
        <v>19</v>
      </c>
      <c r="R278" s="24">
        <f>P278*(J278-(J278*L278)-((J278-(J278*L278))*M278))</f>
        <v>0</v>
      </c>
      <c r="S278" s="24">
        <f t="shared" ref="S278:S365" si="83">R278/1.11</f>
        <v>0</v>
      </c>
    </row>
    <row r="279" spans="1:19" s="19" customFormat="1">
      <c r="A279" s="18"/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19" customFormat="1" ht="15.75">
      <c r="A280" s="44" t="s">
        <v>770</v>
      </c>
      <c r="C280" s="20"/>
      <c r="D280" s="21"/>
      <c r="E280" s="26"/>
      <c r="F280" s="22"/>
      <c r="G280" s="23"/>
      <c r="H280" s="22"/>
      <c r="I280" s="23"/>
      <c r="J280" s="24"/>
      <c r="K280" s="21"/>
      <c r="L280" s="25"/>
      <c r="M280" s="25"/>
      <c r="N280" s="22"/>
      <c r="O280" s="23"/>
      <c r="P280" s="20"/>
      <c r="Q280" s="23"/>
      <c r="R280" s="24"/>
      <c r="S280" s="24"/>
    </row>
    <row r="281" spans="1:19" s="19" customFormat="1">
      <c r="A281" s="18" t="s">
        <v>771</v>
      </c>
      <c r="B281" s="19" t="s">
        <v>604</v>
      </c>
      <c r="C281" s="20"/>
      <c r="D281" s="21" t="s">
        <v>19</v>
      </c>
      <c r="E281" s="26"/>
      <c r="F281" s="22">
        <v>1</v>
      </c>
      <c r="G281" s="23" t="s">
        <v>20</v>
      </c>
      <c r="H281" s="22">
        <v>48</v>
      </c>
      <c r="I281" s="23" t="s">
        <v>19</v>
      </c>
      <c r="J281" s="24">
        <v>53000</v>
      </c>
      <c r="K281" s="21" t="s">
        <v>19</v>
      </c>
      <c r="L281" s="25">
        <v>0.17499999999999999</v>
      </c>
      <c r="M281" s="25">
        <v>1.0999999999999999E-2</v>
      </c>
      <c r="N281" s="22"/>
      <c r="O281" s="23" t="s">
        <v>19</v>
      </c>
      <c r="P281" s="20">
        <f>(C281+(E281*F281*H281))-N281</f>
        <v>0</v>
      </c>
      <c r="Q281" s="23" t="s">
        <v>19</v>
      </c>
      <c r="R281" s="24">
        <f>P281*(J281-(J281*L281)-((J281-(J281*L281))*M281))</f>
        <v>0</v>
      </c>
      <c r="S281" s="24">
        <f t="shared" ref="S281" si="84">R281/1.11</f>
        <v>0</v>
      </c>
    </row>
    <row r="282" spans="1:19" s="19" customFormat="1">
      <c r="A282" s="18"/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19" customFormat="1" ht="15.75">
      <c r="A283" s="44" t="s">
        <v>209</v>
      </c>
      <c r="C283" s="20"/>
      <c r="D283" s="21"/>
      <c r="E283" s="26"/>
      <c r="F283" s="22"/>
      <c r="G283" s="23"/>
      <c r="H283" s="22"/>
      <c r="I283" s="23"/>
      <c r="J283" s="24"/>
      <c r="K283" s="21"/>
      <c r="L283" s="25"/>
      <c r="M283" s="25"/>
      <c r="N283" s="22"/>
      <c r="O283" s="23"/>
      <c r="P283" s="20"/>
      <c r="Q283" s="23"/>
      <c r="R283" s="24"/>
      <c r="S283" s="24"/>
    </row>
    <row r="284" spans="1:19" s="19" customFormat="1">
      <c r="A284" s="18" t="s">
        <v>831</v>
      </c>
      <c r="B284" s="19" t="s">
        <v>18</v>
      </c>
      <c r="C284" s="20"/>
      <c r="D284" s="21" t="s">
        <v>19</v>
      </c>
      <c r="E284" s="26"/>
      <c r="F284" s="22">
        <v>8</v>
      </c>
      <c r="G284" s="23" t="s">
        <v>33</v>
      </c>
      <c r="H284" s="22">
        <v>12</v>
      </c>
      <c r="I284" s="23" t="s">
        <v>19</v>
      </c>
      <c r="J284" s="24">
        <v>11500</v>
      </c>
      <c r="K284" s="21" t="s">
        <v>19</v>
      </c>
      <c r="L284" s="25">
        <v>0.125</v>
      </c>
      <c r="M284" s="25">
        <v>0.05</v>
      </c>
      <c r="N284" s="22"/>
      <c r="O284" s="23" t="s">
        <v>19</v>
      </c>
      <c r="P284" s="20">
        <f>(C284+(E284*F284*H284))-N284</f>
        <v>0</v>
      </c>
      <c r="Q284" s="23" t="s">
        <v>19</v>
      </c>
      <c r="R284" s="24">
        <f>P284*(J284-(J284*L284)-((J284-(J284*L284))*M284))</f>
        <v>0</v>
      </c>
      <c r="S284" s="24">
        <f t="shared" ref="S284" si="85">R284/1.11</f>
        <v>0</v>
      </c>
    </row>
    <row r="285" spans="1:19" s="19" customFormat="1">
      <c r="A285" s="18" t="s">
        <v>210</v>
      </c>
      <c r="B285" s="19" t="s">
        <v>18</v>
      </c>
      <c r="C285" s="20"/>
      <c r="D285" s="21" t="s">
        <v>19</v>
      </c>
      <c r="E285" s="26"/>
      <c r="F285" s="22">
        <v>1</v>
      </c>
      <c r="G285" s="23" t="s">
        <v>20</v>
      </c>
      <c r="H285" s="22">
        <v>90</v>
      </c>
      <c r="I285" s="23" t="s">
        <v>19</v>
      </c>
      <c r="J285" s="24">
        <v>24000</v>
      </c>
      <c r="K285" s="21" t="s">
        <v>19</v>
      </c>
      <c r="L285" s="25">
        <v>0.125</v>
      </c>
      <c r="M285" s="25">
        <v>0.05</v>
      </c>
      <c r="N285" s="22"/>
      <c r="O285" s="23" t="s">
        <v>19</v>
      </c>
      <c r="P285" s="20">
        <f>(C285+(E285*F285*H285))-N285</f>
        <v>0</v>
      </c>
      <c r="Q285" s="23" t="s">
        <v>19</v>
      </c>
      <c r="R285" s="24">
        <f>P285*(J285-(J285*L285)-((J285-(J285*L285))*M285))</f>
        <v>0</v>
      </c>
      <c r="S285" s="24">
        <f t="shared" si="83"/>
        <v>0</v>
      </c>
    </row>
    <row r="286" spans="1:19" s="19" customFormat="1">
      <c r="A286" s="18" t="s">
        <v>211</v>
      </c>
      <c r="B286" s="19" t="s">
        <v>18</v>
      </c>
      <c r="C286" s="20"/>
      <c r="D286" s="21" t="s">
        <v>19</v>
      </c>
      <c r="E286" s="26"/>
      <c r="F286" s="22">
        <v>1</v>
      </c>
      <c r="G286" s="23" t="s">
        <v>20</v>
      </c>
      <c r="H286" s="22">
        <v>48</v>
      </c>
      <c r="I286" s="23" t="s">
        <v>19</v>
      </c>
      <c r="J286" s="24">
        <v>24900</v>
      </c>
      <c r="K286" s="21" t="s">
        <v>19</v>
      </c>
      <c r="L286" s="25">
        <v>0.125</v>
      </c>
      <c r="M286" s="25">
        <v>0.05</v>
      </c>
      <c r="N286" s="22"/>
      <c r="O286" s="23" t="s">
        <v>19</v>
      </c>
      <c r="P286" s="20">
        <f>(C286+(E286*F286*H286))-N286</f>
        <v>0</v>
      </c>
      <c r="Q286" s="23" t="s">
        <v>19</v>
      </c>
      <c r="R286" s="24">
        <f>P286*(J286-(J286*L286)-((J286-(J286*L286))*M286))</f>
        <v>0</v>
      </c>
      <c r="S286" s="24">
        <f t="shared" si="83"/>
        <v>0</v>
      </c>
    </row>
    <row r="287" spans="1:19" s="19" customFormat="1">
      <c r="A287" s="18"/>
      <c r="C287" s="20"/>
      <c r="D287" s="21"/>
      <c r="E287" s="26"/>
      <c r="F287" s="22"/>
      <c r="G287" s="23"/>
      <c r="H287" s="22"/>
      <c r="I287" s="23"/>
      <c r="J287" s="24"/>
      <c r="K287" s="21"/>
      <c r="L287" s="25"/>
      <c r="M287" s="25"/>
      <c r="N287" s="22"/>
      <c r="O287" s="23"/>
      <c r="P287" s="20"/>
      <c r="Q287" s="23"/>
      <c r="R287" s="24"/>
      <c r="S287" s="24"/>
    </row>
    <row r="288" spans="1:19" s="19" customFormat="1">
      <c r="A288" s="18" t="s">
        <v>212</v>
      </c>
      <c r="B288" s="19" t="s">
        <v>25</v>
      </c>
      <c r="C288" s="20"/>
      <c r="D288" s="21" t="s">
        <v>19</v>
      </c>
      <c r="E288" s="26"/>
      <c r="F288" s="22">
        <v>1</v>
      </c>
      <c r="G288" s="23" t="s">
        <v>20</v>
      </c>
      <c r="H288" s="22">
        <v>24</v>
      </c>
      <c r="I288" s="23" t="s">
        <v>19</v>
      </c>
      <c r="J288" s="24">
        <f>720000/24</f>
        <v>30000</v>
      </c>
      <c r="K288" s="21" t="s">
        <v>19</v>
      </c>
      <c r="L288" s="25"/>
      <c r="M288" s="25">
        <v>0.17</v>
      </c>
      <c r="N288" s="22"/>
      <c r="O288" s="23" t="s">
        <v>19</v>
      </c>
      <c r="P288" s="20">
        <f>(C288+(E288*F288*H288))-N288</f>
        <v>0</v>
      </c>
      <c r="Q288" s="23" t="s">
        <v>19</v>
      </c>
      <c r="R288" s="24">
        <f>P288*(J288-(J288*L288)-((J288-(J288*L288))*M288))</f>
        <v>0</v>
      </c>
      <c r="S288" s="24">
        <f t="shared" si="83"/>
        <v>0</v>
      </c>
    </row>
    <row r="289" spans="1:19" s="19" customFormat="1">
      <c r="A289" s="18" t="s">
        <v>213</v>
      </c>
      <c r="B289" s="19" t="s">
        <v>25</v>
      </c>
      <c r="C289" s="20"/>
      <c r="D289" s="21" t="s">
        <v>19</v>
      </c>
      <c r="E289" s="26"/>
      <c r="F289" s="22">
        <v>1</v>
      </c>
      <c r="G289" s="23" t="s">
        <v>20</v>
      </c>
      <c r="H289" s="22">
        <v>48</v>
      </c>
      <c r="I289" s="23" t="s">
        <v>19</v>
      </c>
      <c r="J289" s="24">
        <f>1152000/48</f>
        <v>24000</v>
      </c>
      <c r="K289" s="21" t="s">
        <v>19</v>
      </c>
      <c r="L289" s="25"/>
      <c r="M289" s="25">
        <v>0.17</v>
      </c>
      <c r="N289" s="22"/>
      <c r="O289" s="23" t="s">
        <v>19</v>
      </c>
      <c r="P289" s="20">
        <f>(C289+(E289*F289*H289))-N289</f>
        <v>0</v>
      </c>
      <c r="Q289" s="23" t="s">
        <v>19</v>
      </c>
      <c r="R289" s="24">
        <f>P289*(J289-(J289*L289)-((J289-(J289*L289))*M289))</f>
        <v>0</v>
      </c>
      <c r="S289" s="24">
        <f t="shared" si="83"/>
        <v>0</v>
      </c>
    </row>
    <row r="290" spans="1:19" s="19" customFormat="1">
      <c r="A290" s="18"/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19" customFormat="1" ht="15.75">
      <c r="A291" s="44" t="s">
        <v>214</v>
      </c>
      <c r="C291" s="20"/>
      <c r="D291" s="21"/>
      <c r="E291" s="26"/>
      <c r="F291" s="22"/>
      <c r="G291" s="23"/>
      <c r="H291" s="22"/>
      <c r="I291" s="23"/>
      <c r="J291" s="24"/>
      <c r="K291" s="21"/>
      <c r="L291" s="25"/>
      <c r="M291" s="25"/>
      <c r="N291" s="22"/>
      <c r="O291" s="23"/>
      <c r="P291" s="20"/>
      <c r="Q291" s="23"/>
      <c r="R291" s="24"/>
      <c r="S291" s="24"/>
    </row>
    <row r="292" spans="1:19" s="19" customFormat="1">
      <c r="A292" s="88" t="s">
        <v>790</v>
      </c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19" customFormat="1">
      <c r="A293" s="18" t="s">
        <v>791</v>
      </c>
      <c r="B293" s="19" t="s">
        <v>25</v>
      </c>
      <c r="C293" s="20"/>
      <c r="D293" s="21" t="s">
        <v>41</v>
      </c>
      <c r="E293" s="26"/>
      <c r="F293" s="22">
        <v>1</v>
      </c>
      <c r="G293" s="23" t="s">
        <v>20</v>
      </c>
      <c r="H293" s="22">
        <v>40</v>
      </c>
      <c r="I293" s="23" t="s">
        <v>41</v>
      </c>
      <c r="J293" s="24">
        <v>32400</v>
      </c>
      <c r="K293" s="21" t="s">
        <v>41</v>
      </c>
      <c r="L293" s="25"/>
      <c r="M293" s="25">
        <v>0.17</v>
      </c>
      <c r="N293" s="22"/>
      <c r="O293" s="23" t="s">
        <v>41</v>
      </c>
      <c r="P293" s="20">
        <f>(C293+(E293*F293*H293))-N293</f>
        <v>0</v>
      </c>
      <c r="Q293" s="23" t="s">
        <v>41</v>
      </c>
      <c r="R293" s="24">
        <f>P293*(J293-(J293*L293)-((J293-(J293*L293))*M293))</f>
        <v>0</v>
      </c>
      <c r="S293" s="24">
        <f t="shared" ref="S293" si="86">R293/1.11</f>
        <v>0</v>
      </c>
    </row>
    <row r="294" spans="1:19" s="19" customFormat="1">
      <c r="A294" s="18"/>
      <c r="C294" s="20"/>
      <c r="D294" s="21"/>
      <c r="E294" s="26"/>
      <c r="F294" s="22"/>
      <c r="G294" s="23"/>
      <c r="H294" s="22"/>
      <c r="I294" s="23"/>
      <c r="J294" s="24"/>
      <c r="K294" s="21"/>
      <c r="L294" s="25"/>
      <c r="M294" s="25"/>
      <c r="N294" s="22"/>
      <c r="O294" s="23"/>
      <c r="P294" s="20"/>
      <c r="Q294" s="23"/>
      <c r="R294" s="24"/>
      <c r="S294" s="24"/>
    </row>
    <row r="295" spans="1:19" s="19" customFormat="1">
      <c r="A295" s="88" t="s">
        <v>215</v>
      </c>
      <c r="C295" s="20"/>
      <c r="D295" s="21"/>
      <c r="E295" s="26"/>
      <c r="F295" s="22"/>
      <c r="G295" s="23"/>
      <c r="H295" s="22"/>
      <c r="I295" s="23"/>
      <c r="J295" s="24"/>
      <c r="K295" s="21"/>
      <c r="L295" s="25"/>
      <c r="M295" s="25"/>
      <c r="N295" s="22"/>
      <c r="O295" s="23"/>
      <c r="P295" s="20"/>
      <c r="Q295" s="23"/>
      <c r="R295" s="24"/>
      <c r="S295" s="24"/>
    </row>
    <row r="296" spans="1:19" s="19" customFormat="1">
      <c r="A296" s="18" t="s">
        <v>216</v>
      </c>
      <c r="B296" s="19" t="s">
        <v>18</v>
      </c>
      <c r="C296" s="20"/>
      <c r="D296" s="21" t="s">
        <v>19</v>
      </c>
      <c r="E296" s="26"/>
      <c r="F296" s="22">
        <v>1</v>
      </c>
      <c r="G296" s="23" t="s">
        <v>20</v>
      </c>
      <c r="H296" s="22">
        <v>40</v>
      </c>
      <c r="I296" s="23" t="s">
        <v>19</v>
      </c>
      <c r="J296" s="24">
        <v>38500</v>
      </c>
      <c r="K296" s="21" t="s">
        <v>19</v>
      </c>
      <c r="L296" s="25">
        <v>0.125</v>
      </c>
      <c r="M296" s="25">
        <v>0.05</v>
      </c>
      <c r="N296" s="22"/>
      <c r="O296" s="23" t="s">
        <v>19</v>
      </c>
      <c r="P296" s="20">
        <f>(C296+(E296*F296*H296))-N296</f>
        <v>0</v>
      </c>
      <c r="Q296" s="23" t="s">
        <v>19</v>
      </c>
      <c r="R296" s="24">
        <f>P296*(J296-(J296*L296)-((J296-(J296*L296))*M296))</f>
        <v>0</v>
      </c>
      <c r="S296" s="24">
        <f t="shared" si="83"/>
        <v>0</v>
      </c>
    </row>
    <row r="297" spans="1:19" s="19" customFormat="1">
      <c r="A297" s="18"/>
      <c r="C297" s="20"/>
      <c r="D297" s="21"/>
      <c r="E297" s="26"/>
      <c r="F297" s="22"/>
      <c r="G297" s="23"/>
      <c r="H297" s="22"/>
      <c r="I297" s="23"/>
      <c r="J297" s="24"/>
      <c r="K297" s="21"/>
      <c r="L297" s="25"/>
      <c r="M297" s="25"/>
      <c r="N297" s="22"/>
      <c r="O297" s="23"/>
      <c r="P297" s="20"/>
      <c r="Q297" s="23"/>
      <c r="R297" s="24"/>
      <c r="S297" s="24"/>
    </row>
    <row r="298" spans="1:19" s="19" customFormat="1">
      <c r="A298" s="88" t="s">
        <v>217</v>
      </c>
      <c r="C298" s="20"/>
      <c r="D298" s="21"/>
      <c r="E298" s="26"/>
      <c r="F298" s="22"/>
      <c r="G298" s="23"/>
      <c r="H298" s="22"/>
      <c r="I298" s="23"/>
      <c r="J298" s="24"/>
      <c r="K298" s="21"/>
      <c r="L298" s="25"/>
      <c r="M298" s="25"/>
      <c r="N298" s="22"/>
      <c r="O298" s="23"/>
      <c r="P298" s="20"/>
      <c r="Q298" s="23"/>
      <c r="R298" s="24"/>
      <c r="S298" s="24"/>
    </row>
    <row r="299" spans="1:19" s="19" customFormat="1">
      <c r="A299" s="18" t="s">
        <v>760</v>
      </c>
      <c r="B299" s="19" t="s">
        <v>18</v>
      </c>
      <c r="C299" s="20"/>
      <c r="D299" s="21" t="s">
        <v>19</v>
      </c>
      <c r="E299" s="26"/>
      <c r="F299" s="22">
        <v>1</v>
      </c>
      <c r="G299" s="23" t="s">
        <v>20</v>
      </c>
      <c r="H299" s="22">
        <v>48</v>
      </c>
      <c r="I299" s="23" t="s">
        <v>19</v>
      </c>
      <c r="J299" s="24">
        <v>17600</v>
      </c>
      <c r="K299" s="21" t="s">
        <v>19</v>
      </c>
      <c r="L299" s="25">
        <v>0.125</v>
      </c>
      <c r="M299" s="25">
        <v>0.05</v>
      </c>
      <c r="N299" s="22"/>
      <c r="O299" s="23" t="s">
        <v>19</v>
      </c>
      <c r="P299" s="20">
        <f>(C299+(E299*F299*H299))-N299</f>
        <v>0</v>
      </c>
      <c r="Q299" s="23" t="s">
        <v>19</v>
      </c>
      <c r="R299" s="24">
        <f>P299*(J299-(J299*L299)-((J299-(J299*L299))*M299))</f>
        <v>0</v>
      </c>
      <c r="S299" s="24">
        <f t="shared" si="83"/>
        <v>0</v>
      </c>
    </row>
    <row r="300" spans="1:19" s="19" customFormat="1">
      <c r="A300" s="18"/>
      <c r="C300" s="20"/>
      <c r="D300" s="21"/>
      <c r="E300" s="26"/>
      <c r="F300" s="22"/>
      <c r="G300" s="23"/>
      <c r="H300" s="22"/>
      <c r="I300" s="23"/>
      <c r="J300" s="24"/>
      <c r="K300" s="21"/>
      <c r="L300" s="25"/>
      <c r="M300" s="25"/>
      <c r="N300" s="22"/>
      <c r="O300" s="23"/>
      <c r="P300" s="20"/>
      <c r="Q300" s="23"/>
      <c r="R300" s="24"/>
      <c r="S300" s="24"/>
    </row>
    <row r="301" spans="1:19" s="19" customFormat="1" ht="15.75">
      <c r="A301" s="44" t="s">
        <v>218</v>
      </c>
      <c r="C301" s="20"/>
      <c r="D301" s="21"/>
      <c r="E301" s="26"/>
      <c r="F301" s="22"/>
      <c r="G301" s="23"/>
      <c r="H301" s="22"/>
      <c r="I301" s="23"/>
      <c r="J301" s="24"/>
      <c r="K301" s="21"/>
      <c r="L301" s="25"/>
      <c r="M301" s="25"/>
      <c r="N301" s="22"/>
      <c r="O301" s="23"/>
      <c r="P301" s="20"/>
      <c r="Q301" s="23"/>
      <c r="R301" s="24"/>
      <c r="S301" s="24"/>
    </row>
    <row r="302" spans="1:19" s="19" customFormat="1">
      <c r="A302" s="88" t="s">
        <v>219</v>
      </c>
      <c r="C302" s="20"/>
      <c r="D302" s="21"/>
      <c r="E302" s="26"/>
      <c r="F302" s="22"/>
      <c r="G302" s="23"/>
      <c r="H302" s="22"/>
      <c r="I302" s="23"/>
      <c r="J302" s="24"/>
      <c r="K302" s="21"/>
      <c r="L302" s="25"/>
      <c r="M302" s="25"/>
      <c r="N302" s="22"/>
      <c r="O302" s="23"/>
      <c r="P302" s="20"/>
      <c r="Q302" s="23"/>
      <c r="R302" s="24"/>
      <c r="S302" s="24"/>
    </row>
    <row r="303" spans="1:19" s="19" customFormat="1">
      <c r="A303" s="18" t="s">
        <v>220</v>
      </c>
      <c r="B303" s="19" t="s">
        <v>25</v>
      </c>
      <c r="C303" s="20"/>
      <c r="D303" s="21" t="s">
        <v>41</v>
      </c>
      <c r="E303" s="26"/>
      <c r="F303" s="22">
        <v>1</v>
      </c>
      <c r="G303" s="23" t="s">
        <v>20</v>
      </c>
      <c r="H303" s="22">
        <v>50</v>
      </c>
      <c r="I303" s="23" t="s">
        <v>41</v>
      </c>
      <c r="J303" s="24">
        <f>1800000/50</f>
        <v>36000</v>
      </c>
      <c r="K303" s="21" t="s">
        <v>41</v>
      </c>
      <c r="L303" s="25"/>
      <c r="M303" s="25">
        <v>0.17</v>
      </c>
      <c r="N303" s="22"/>
      <c r="O303" s="23" t="s">
        <v>41</v>
      </c>
      <c r="P303" s="20">
        <f t="shared" ref="P303:P309" si="87">(C303+(E303*F303*H303))-N303</f>
        <v>0</v>
      </c>
      <c r="Q303" s="23" t="s">
        <v>41</v>
      </c>
      <c r="R303" s="24">
        <f t="shared" ref="R303:R309" si="88">P303*(J303-(J303*L303)-((J303-(J303*L303))*M303))</f>
        <v>0</v>
      </c>
      <c r="S303" s="24">
        <f t="shared" si="83"/>
        <v>0</v>
      </c>
    </row>
    <row r="304" spans="1:19" s="19" customFormat="1">
      <c r="A304" s="18" t="s">
        <v>778</v>
      </c>
      <c r="B304" s="19" t="s">
        <v>25</v>
      </c>
      <c r="C304" s="20"/>
      <c r="D304" s="21" t="s">
        <v>41</v>
      </c>
      <c r="E304" s="26"/>
      <c r="F304" s="22">
        <v>1</v>
      </c>
      <c r="G304" s="23" t="s">
        <v>20</v>
      </c>
      <c r="H304" s="22">
        <v>25</v>
      </c>
      <c r="I304" s="23" t="s">
        <v>41</v>
      </c>
      <c r="J304" s="24">
        <f>1672500/25</f>
        <v>66900</v>
      </c>
      <c r="K304" s="21" t="s">
        <v>41</v>
      </c>
      <c r="L304" s="25"/>
      <c r="M304" s="25">
        <v>0.17</v>
      </c>
      <c r="N304" s="22"/>
      <c r="O304" s="23" t="s">
        <v>41</v>
      </c>
      <c r="P304" s="20">
        <f t="shared" si="87"/>
        <v>0</v>
      </c>
      <c r="Q304" s="23" t="s">
        <v>41</v>
      </c>
      <c r="R304" s="24">
        <f t="shared" si="88"/>
        <v>0</v>
      </c>
      <c r="S304" s="24">
        <f t="shared" si="83"/>
        <v>0</v>
      </c>
    </row>
    <row r="305" spans="1:19" s="19" customFormat="1">
      <c r="A305" s="18" t="s">
        <v>221</v>
      </c>
      <c r="B305" s="19" t="s">
        <v>25</v>
      </c>
      <c r="C305" s="20"/>
      <c r="D305" s="21" t="s">
        <v>41</v>
      </c>
      <c r="E305" s="26">
        <v>2</v>
      </c>
      <c r="F305" s="22">
        <v>1</v>
      </c>
      <c r="G305" s="23" t="s">
        <v>20</v>
      </c>
      <c r="H305" s="22">
        <v>25</v>
      </c>
      <c r="I305" s="23" t="s">
        <v>41</v>
      </c>
      <c r="J305" s="24">
        <f>2100000/25</f>
        <v>84000</v>
      </c>
      <c r="K305" s="21" t="s">
        <v>41</v>
      </c>
      <c r="L305" s="25"/>
      <c r="M305" s="25">
        <v>0.17</v>
      </c>
      <c r="N305" s="22"/>
      <c r="O305" s="23" t="s">
        <v>41</v>
      </c>
      <c r="P305" s="20">
        <f t="shared" si="87"/>
        <v>50</v>
      </c>
      <c r="Q305" s="23" t="s">
        <v>41</v>
      </c>
      <c r="R305" s="24">
        <f t="shared" si="88"/>
        <v>3486000</v>
      </c>
      <c r="S305" s="24">
        <f t="shared" si="83"/>
        <v>3140540.5405405401</v>
      </c>
    </row>
    <row r="306" spans="1:19" s="19" customFormat="1">
      <c r="A306" s="18" t="s">
        <v>222</v>
      </c>
      <c r="B306" s="19" t="s">
        <v>25</v>
      </c>
      <c r="C306" s="20"/>
      <c r="D306" s="21" t="s">
        <v>41</v>
      </c>
      <c r="E306" s="26"/>
      <c r="F306" s="22">
        <v>1</v>
      </c>
      <c r="G306" s="23" t="s">
        <v>20</v>
      </c>
      <c r="H306" s="22">
        <v>10</v>
      </c>
      <c r="I306" s="23" t="s">
        <v>41</v>
      </c>
      <c r="J306" s="24">
        <f>1632000/10</f>
        <v>163200</v>
      </c>
      <c r="K306" s="21" t="s">
        <v>41</v>
      </c>
      <c r="L306" s="25"/>
      <c r="M306" s="25">
        <v>0.17</v>
      </c>
      <c r="N306" s="22"/>
      <c r="O306" s="23" t="s">
        <v>41</v>
      </c>
      <c r="P306" s="20">
        <f t="shared" si="87"/>
        <v>0</v>
      </c>
      <c r="Q306" s="23" t="s">
        <v>41</v>
      </c>
      <c r="R306" s="24">
        <f t="shared" si="88"/>
        <v>0</v>
      </c>
      <c r="S306" s="24">
        <f t="shared" si="83"/>
        <v>0</v>
      </c>
    </row>
    <row r="307" spans="1:19" s="19" customFormat="1">
      <c r="A307" s="18" t="s">
        <v>223</v>
      </c>
      <c r="B307" s="19" t="s">
        <v>25</v>
      </c>
      <c r="C307" s="20"/>
      <c r="D307" s="21" t="s">
        <v>41</v>
      </c>
      <c r="E307" s="26"/>
      <c r="F307" s="22">
        <v>1</v>
      </c>
      <c r="G307" s="23" t="s">
        <v>20</v>
      </c>
      <c r="H307" s="22">
        <v>10</v>
      </c>
      <c r="I307" s="23" t="s">
        <v>41</v>
      </c>
      <c r="J307" s="24">
        <f>2028000/10</f>
        <v>202800</v>
      </c>
      <c r="K307" s="21" t="s">
        <v>41</v>
      </c>
      <c r="L307" s="25"/>
      <c r="M307" s="25">
        <v>0.17</v>
      </c>
      <c r="N307" s="22"/>
      <c r="O307" s="23" t="s">
        <v>41</v>
      </c>
      <c r="P307" s="20">
        <f t="shared" si="87"/>
        <v>0</v>
      </c>
      <c r="Q307" s="23" t="s">
        <v>41</v>
      </c>
      <c r="R307" s="24">
        <f t="shared" si="88"/>
        <v>0</v>
      </c>
      <c r="S307" s="24">
        <f t="shared" si="83"/>
        <v>0</v>
      </c>
    </row>
    <row r="308" spans="1:19" s="19" customFormat="1">
      <c r="A308" s="18" t="s">
        <v>224</v>
      </c>
      <c r="B308" s="19" t="s">
        <v>25</v>
      </c>
      <c r="C308" s="20"/>
      <c r="D308" s="21" t="s">
        <v>41</v>
      </c>
      <c r="E308" s="26"/>
      <c r="F308" s="22">
        <v>1</v>
      </c>
      <c r="G308" s="23" t="s">
        <v>20</v>
      </c>
      <c r="H308" s="22">
        <v>10</v>
      </c>
      <c r="I308" s="23" t="s">
        <v>41</v>
      </c>
      <c r="J308" s="24">
        <f>2520000/10</f>
        <v>252000</v>
      </c>
      <c r="K308" s="21" t="s">
        <v>41</v>
      </c>
      <c r="L308" s="25"/>
      <c r="M308" s="25">
        <v>0.17</v>
      </c>
      <c r="N308" s="22"/>
      <c r="O308" s="23" t="s">
        <v>41</v>
      </c>
      <c r="P308" s="20">
        <f t="shared" si="87"/>
        <v>0</v>
      </c>
      <c r="Q308" s="23" t="s">
        <v>41</v>
      </c>
      <c r="R308" s="24">
        <f t="shared" si="88"/>
        <v>0</v>
      </c>
      <c r="S308" s="24">
        <f t="shared" si="83"/>
        <v>0</v>
      </c>
    </row>
    <row r="309" spans="1:19" s="19" customFormat="1">
      <c r="A309" s="18" t="s">
        <v>225</v>
      </c>
      <c r="B309" s="19" t="s">
        <v>25</v>
      </c>
      <c r="C309" s="20"/>
      <c r="D309" s="21" t="s">
        <v>19</v>
      </c>
      <c r="E309" s="26"/>
      <c r="F309" s="22">
        <v>10</v>
      </c>
      <c r="G309" s="23" t="s">
        <v>41</v>
      </c>
      <c r="H309" s="22">
        <v>12</v>
      </c>
      <c r="I309" s="23" t="s">
        <v>19</v>
      </c>
      <c r="J309" s="24">
        <f>5220000/10/12</f>
        <v>43500</v>
      </c>
      <c r="K309" s="21" t="s">
        <v>19</v>
      </c>
      <c r="L309" s="25"/>
      <c r="M309" s="25">
        <v>0.17</v>
      </c>
      <c r="N309" s="22"/>
      <c r="O309" s="23" t="s">
        <v>19</v>
      </c>
      <c r="P309" s="20">
        <f t="shared" si="87"/>
        <v>0</v>
      </c>
      <c r="Q309" s="23" t="s">
        <v>19</v>
      </c>
      <c r="R309" s="24">
        <f t="shared" si="88"/>
        <v>0</v>
      </c>
      <c r="S309" s="24">
        <f t="shared" si="83"/>
        <v>0</v>
      </c>
    </row>
    <row r="310" spans="1:19" s="19" customFormat="1">
      <c r="A310" s="18"/>
      <c r="C310" s="20"/>
      <c r="D310" s="21"/>
      <c r="E310" s="26"/>
      <c r="F310" s="22"/>
      <c r="G310" s="23"/>
      <c r="H310" s="22"/>
      <c r="I310" s="23"/>
      <c r="J310" s="24"/>
      <c r="K310" s="21"/>
      <c r="L310" s="25"/>
      <c r="M310" s="25"/>
      <c r="N310" s="22"/>
      <c r="O310" s="23"/>
      <c r="P310" s="20"/>
      <c r="Q310" s="23"/>
      <c r="R310" s="24"/>
      <c r="S310" s="24"/>
    </row>
    <row r="311" spans="1:19" s="19" customFormat="1">
      <c r="A311" s="88" t="s">
        <v>671</v>
      </c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>
      <c r="A312" s="18" t="s">
        <v>789</v>
      </c>
      <c r="B312" s="19" t="s">
        <v>177</v>
      </c>
      <c r="C312" s="20"/>
      <c r="D312" s="21" t="s">
        <v>41</v>
      </c>
      <c r="E312" s="26"/>
      <c r="F312" s="22">
        <v>20</v>
      </c>
      <c r="G312" s="23" t="s">
        <v>33</v>
      </c>
      <c r="H312" s="22">
        <v>4</v>
      </c>
      <c r="I312" s="23" t="s">
        <v>41</v>
      </c>
      <c r="J312" s="24">
        <f>1400*12</f>
        <v>16800</v>
      </c>
      <c r="K312" s="21" t="s">
        <v>41</v>
      </c>
      <c r="L312" s="25">
        <v>0.05</v>
      </c>
      <c r="M312" s="25"/>
      <c r="N312" s="22"/>
      <c r="O312" s="23" t="s">
        <v>41</v>
      </c>
      <c r="P312" s="20">
        <f>(C312+(E312*F312*H312))-N312</f>
        <v>0</v>
      </c>
      <c r="Q312" s="23" t="s">
        <v>41</v>
      </c>
      <c r="R312" s="24">
        <f>P312*(J312-(J312*L312)-((J312-(J312*L312))*M312))</f>
        <v>0</v>
      </c>
      <c r="S312" s="24">
        <f t="shared" ref="S312" si="89">R312/1.11</f>
        <v>0</v>
      </c>
    </row>
    <row r="313" spans="1:19" s="19" customFormat="1" ht="15.75">
      <c r="A313" s="89"/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19" customFormat="1" ht="15.75">
      <c r="A314" s="44" t="s">
        <v>226</v>
      </c>
      <c r="C314" s="20"/>
      <c r="D314" s="21"/>
      <c r="E314" s="26"/>
      <c r="F314" s="22"/>
      <c r="G314" s="23"/>
      <c r="H314" s="22"/>
      <c r="I314" s="23"/>
      <c r="J314" s="24"/>
      <c r="K314" s="21"/>
      <c r="L314" s="25"/>
      <c r="M314" s="25"/>
      <c r="N314" s="22"/>
      <c r="O314" s="23"/>
      <c r="P314" s="20"/>
      <c r="Q314" s="23"/>
      <c r="R314" s="24"/>
      <c r="S314" s="24"/>
    </row>
    <row r="315" spans="1:19" s="19" customFormat="1">
      <c r="A315" s="18" t="s">
        <v>227</v>
      </c>
      <c r="B315" s="19" t="s">
        <v>18</v>
      </c>
      <c r="C315" s="20"/>
      <c r="D315" s="21" t="s">
        <v>19</v>
      </c>
      <c r="E315" s="26"/>
      <c r="F315" s="22">
        <v>12</v>
      </c>
      <c r="G315" s="23" t="s">
        <v>33</v>
      </c>
      <c r="H315" s="22">
        <v>12</v>
      </c>
      <c r="I315" s="23" t="s">
        <v>19</v>
      </c>
      <c r="J315" s="24">
        <f>52500/12</f>
        <v>4375</v>
      </c>
      <c r="K315" s="21" t="s">
        <v>19</v>
      </c>
      <c r="L315" s="25">
        <v>0.125</v>
      </c>
      <c r="M315" s="25">
        <v>0.05</v>
      </c>
      <c r="N315" s="22"/>
      <c r="O315" s="23" t="s">
        <v>19</v>
      </c>
      <c r="P315" s="20">
        <f t="shared" ref="P315:P327" si="90">(C315+(E315*F315*H315))-N315</f>
        <v>0</v>
      </c>
      <c r="Q315" s="23" t="s">
        <v>19</v>
      </c>
      <c r="R315" s="24">
        <f t="shared" ref="R315:R327" si="91">P315*(J315-(J315*L315)-((J315-(J315*L315))*M315))</f>
        <v>0</v>
      </c>
      <c r="S315" s="24">
        <f t="shared" ref="S315" si="92">R315/1.11</f>
        <v>0</v>
      </c>
    </row>
    <row r="316" spans="1:19" s="19" customFormat="1">
      <c r="A316" s="91" t="s">
        <v>860</v>
      </c>
      <c r="B316" s="19" t="s">
        <v>18</v>
      </c>
      <c r="C316" s="20"/>
      <c r="D316" s="21" t="s">
        <v>19</v>
      </c>
      <c r="E316" s="26">
        <v>1</v>
      </c>
      <c r="F316" s="22">
        <v>12</v>
      </c>
      <c r="G316" s="23" t="s">
        <v>33</v>
      </c>
      <c r="H316" s="22">
        <v>12</v>
      </c>
      <c r="I316" s="23" t="s">
        <v>19</v>
      </c>
      <c r="J316" s="24">
        <v>7200</v>
      </c>
      <c r="K316" s="21" t="s">
        <v>19</v>
      </c>
      <c r="L316" s="25">
        <v>0.125</v>
      </c>
      <c r="M316" s="25">
        <v>0.05</v>
      </c>
      <c r="N316" s="22"/>
      <c r="O316" s="23" t="s">
        <v>19</v>
      </c>
      <c r="P316" s="20">
        <f t="shared" ref="P316" si="93">(C316+(E316*F316*H316))-N316</f>
        <v>144</v>
      </c>
      <c r="Q316" s="23" t="s">
        <v>19</v>
      </c>
      <c r="R316" s="24">
        <f>P316*(J316-(J316*L316)-((J316-(J316*L316))*M316))</f>
        <v>861840</v>
      </c>
      <c r="S316" s="24">
        <f t="shared" ref="S316" si="94">R316/1.11</f>
        <v>776432.43243243231</v>
      </c>
    </row>
    <row r="317" spans="1:19" s="19" customFormat="1">
      <c r="A317" s="18" t="s">
        <v>228</v>
      </c>
      <c r="B317" s="19" t="s">
        <v>18</v>
      </c>
      <c r="C317" s="20"/>
      <c r="D317" s="21" t="s">
        <v>19</v>
      </c>
      <c r="E317" s="26"/>
      <c r="F317" s="22">
        <v>12</v>
      </c>
      <c r="G317" s="23" t="s">
        <v>33</v>
      </c>
      <c r="H317" s="22">
        <v>12</v>
      </c>
      <c r="I317" s="23" t="s">
        <v>19</v>
      </c>
      <c r="J317" s="24">
        <v>20500</v>
      </c>
      <c r="K317" s="21" t="s">
        <v>19</v>
      </c>
      <c r="L317" s="25">
        <v>0.125</v>
      </c>
      <c r="M317" s="25">
        <v>0.05</v>
      </c>
      <c r="N317" s="22"/>
      <c r="O317" s="23" t="s">
        <v>19</v>
      </c>
      <c r="P317" s="20">
        <f t="shared" si="90"/>
        <v>0</v>
      </c>
      <c r="Q317" s="23" t="s">
        <v>19</v>
      </c>
      <c r="R317" s="24">
        <f t="shared" si="91"/>
        <v>0</v>
      </c>
      <c r="S317" s="24">
        <f t="shared" si="83"/>
        <v>0</v>
      </c>
    </row>
    <row r="318" spans="1:19" s="19" customFormat="1">
      <c r="A318" s="18" t="s">
        <v>229</v>
      </c>
      <c r="B318" s="19" t="s">
        <v>18</v>
      </c>
      <c r="C318" s="20"/>
      <c r="D318" s="21" t="s">
        <v>19</v>
      </c>
      <c r="E318" s="26"/>
      <c r="F318" s="22">
        <v>12</v>
      </c>
      <c r="G318" s="23" t="s">
        <v>33</v>
      </c>
      <c r="H318" s="22">
        <v>12</v>
      </c>
      <c r="I318" s="23" t="s">
        <v>19</v>
      </c>
      <c r="J318" s="24">
        <v>22000</v>
      </c>
      <c r="K318" s="21" t="s">
        <v>19</v>
      </c>
      <c r="L318" s="25">
        <v>0.125</v>
      </c>
      <c r="M318" s="25">
        <v>0.05</v>
      </c>
      <c r="N318" s="22"/>
      <c r="O318" s="23" t="s">
        <v>19</v>
      </c>
      <c r="P318" s="20">
        <f t="shared" si="90"/>
        <v>0</v>
      </c>
      <c r="Q318" s="23" t="s">
        <v>19</v>
      </c>
      <c r="R318" s="24">
        <f t="shared" si="91"/>
        <v>0</v>
      </c>
      <c r="S318" s="24">
        <f t="shared" si="83"/>
        <v>0</v>
      </c>
    </row>
    <row r="319" spans="1:19" s="19" customFormat="1">
      <c r="A319" s="18" t="s">
        <v>230</v>
      </c>
      <c r="B319" s="19" t="s">
        <v>18</v>
      </c>
      <c r="C319" s="20"/>
      <c r="D319" s="21" t="s">
        <v>19</v>
      </c>
      <c r="E319" s="26">
        <v>11</v>
      </c>
      <c r="F319" s="22">
        <v>12</v>
      </c>
      <c r="G319" s="23" t="s">
        <v>33</v>
      </c>
      <c r="H319" s="22">
        <v>12</v>
      </c>
      <c r="I319" s="23" t="s">
        <v>19</v>
      </c>
      <c r="J319" s="24">
        <v>4350</v>
      </c>
      <c r="K319" s="21" t="s">
        <v>19</v>
      </c>
      <c r="L319" s="25">
        <v>0.125</v>
      </c>
      <c r="M319" s="25">
        <v>0.05</v>
      </c>
      <c r="N319" s="22"/>
      <c r="O319" s="23" t="s">
        <v>19</v>
      </c>
      <c r="P319" s="20">
        <f t="shared" si="90"/>
        <v>1584</v>
      </c>
      <c r="Q319" s="23" t="s">
        <v>19</v>
      </c>
      <c r="R319" s="24">
        <f t="shared" si="91"/>
        <v>5727645</v>
      </c>
      <c r="S319" s="24">
        <f t="shared" si="83"/>
        <v>5160040.5405405397</v>
      </c>
    </row>
    <row r="320" spans="1:19" s="19" customFormat="1">
      <c r="A320" s="18" t="s">
        <v>231</v>
      </c>
      <c r="B320" s="19" t="s">
        <v>18</v>
      </c>
      <c r="C320" s="20"/>
      <c r="D320" s="21" t="s">
        <v>19</v>
      </c>
      <c r="E320" s="26">
        <v>6</v>
      </c>
      <c r="F320" s="22">
        <v>12</v>
      </c>
      <c r="G320" s="23" t="s">
        <v>33</v>
      </c>
      <c r="H320" s="22">
        <v>12</v>
      </c>
      <c r="I320" s="23" t="s">
        <v>19</v>
      </c>
      <c r="J320" s="24">
        <v>6500</v>
      </c>
      <c r="K320" s="21" t="s">
        <v>19</v>
      </c>
      <c r="L320" s="25">
        <v>0.125</v>
      </c>
      <c r="M320" s="25">
        <v>0.05</v>
      </c>
      <c r="N320" s="22"/>
      <c r="O320" s="23" t="s">
        <v>19</v>
      </c>
      <c r="P320" s="20">
        <f t="shared" si="90"/>
        <v>864</v>
      </c>
      <c r="Q320" s="23" t="s">
        <v>19</v>
      </c>
      <c r="R320" s="24">
        <f t="shared" si="91"/>
        <v>4668300</v>
      </c>
      <c r="S320" s="24">
        <f t="shared" si="83"/>
        <v>4205675.6756756753</v>
      </c>
    </row>
    <row r="321" spans="1:19" s="19" customFormat="1">
      <c r="A321" s="18" t="s">
        <v>232</v>
      </c>
      <c r="B321" s="19" t="s">
        <v>18</v>
      </c>
      <c r="C321" s="20"/>
      <c r="D321" s="21" t="s">
        <v>19</v>
      </c>
      <c r="E321" s="26">
        <v>6</v>
      </c>
      <c r="F321" s="22">
        <v>12</v>
      </c>
      <c r="G321" s="23" t="s">
        <v>33</v>
      </c>
      <c r="H321" s="22">
        <v>12</v>
      </c>
      <c r="I321" s="23" t="s">
        <v>19</v>
      </c>
      <c r="J321" s="24">
        <v>9750</v>
      </c>
      <c r="K321" s="21" t="s">
        <v>19</v>
      </c>
      <c r="L321" s="25">
        <v>0.125</v>
      </c>
      <c r="M321" s="25">
        <v>0.05</v>
      </c>
      <c r="N321" s="22"/>
      <c r="O321" s="23" t="s">
        <v>19</v>
      </c>
      <c r="P321" s="20">
        <f t="shared" si="90"/>
        <v>864</v>
      </c>
      <c r="Q321" s="23" t="s">
        <v>19</v>
      </c>
      <c r="R321" s="24">
        <f t="shared" si="91"/>
        <v>7002450</v>
      </c>
      <c r="S321" s="24">
        <f t="shared" si="83"/>
        <v>6308513.5135135129</v>
      </c>
    </row>
    <row r="322" spans="1:19" s="19" customFormat="1">
      <c r="A322" s="18" t="s">
        <v>233</v>
      </c>
      <c r="B322" s="19" t="s">
        <v>18</v>
      </c>
      <c r="C322" s="20"/>
      <c r="D322" s="21" t="s">
        <v>19</v>
      </c>
      <c r="E322" s="26"/>
      <c r="F322" s="22">
        <v>6</v>
      </c>
      <c r="G322" s="23" t="s">
        <v>33</v>
      </c>
      <c r="H322" s="22">
        <v>12</v>
      </c>
      <c r="I322" s="23" t="s">
        <v>19</v>
      </c>
      <c r="J322" s="24">
        <v>19200</v>
      </c>
      <c r="K322" s="21" t="s">
        <v>19</v>
      </c>
      <c r="L322" s="25">
        <v>0.125</v>
      </c>
      <c r="M322" s="25">
        <v>0.05</v>
      </c>
      <c r="N322" s="22"/>
      <c r="O322" s="23" t="s">
        <v>19</v>
      </c>
      <c r="P322" s="20">
        <f t="shared" si="90"/>
        <v>0</v>
      </c>
      <c r="Q322" s="23" t="s">
        <v>19</v>
      </c>
      <c r="R322" s="24">
        <f t="shared" si="91"/>
        <v>0</v>
      </c>
      <c r="S322" s="24">
        <f t="shared" si="83"/>
        <v>0</v>
      </c>
    </row>
    <row r="323" spans="1:19" s="19" customFormat="1">
      <c r="A323" s="18" t="s">
        <v>234</v>
      </c>
      <c r="B323" s="19" t="s">
        <v>18</v>
      </c>
      <c r="C323" s="20"/>
      <c r="D323" s="21" t="s">
        <v>19</v>
      </c>
      <c r="E323" s="26"/>
      <c r="F323" s="22">
        <v>12</v>
      </c>
      <c r="G323" s="23" t="s">
        <v>33</v>
      </c>
      <c r="H323" s="22">
        <v>12</v>
      </c>
      <c r="I323" s="23" t="s">
        <v>19</v>
      </c>
      <c r="J323" s="24">
        <v>5900</v>
      </c>
      <c r="K323" s="21" t="s">
        <v>19</v>
      </c>
      <c r="L323" s="25">
        <v>0.125</v>
      </c>
      <c r="M323" s="25">
        <v>0.05</v>
      </c>
      <c r="N323" s="22"/>
      <c r="O323" s="23" t="s">
        <v>19</v>
      </c>
      <c r="P323" s="20">
        <f t="shared" si="90"/>
        <v>0</v>
      </c>
      <c r="Q323" s="23" t="s">
        <v>19</v>
      </c>
      <c r="R323" s="24">
        <f t="shared" si="91"/>
        <v>0</v>
      </c>
      <c r="S323" s="24">
        <f t="shared" si="83"/>
        <v>0</v>
      </c>
    </row>
    <row r="324" spans="1:19" s="19" customFormat="1">
      <c r="A324" s="18" t="s">
        <v>235</v>
      </c>
      <c r="B324" s="19" t="s">
        <v>18</v>
      </c>
      <c r="C324" s="20"/>
      <c r="D324" s="21" t="s">
        <v>19</v>
      </c>
      <c r="E324" s="26"/>
      <c r="F324" s="22">
        <v>12</v>
      </c>
      <c r="G324" s="23" t="s">
        <v>33</v>
      </c>
      <c r="H324" s="22">
        <v>12</v>
      </c>
      <c r="I324" s="23" t="s">
        <v>19</v>
      </c>
      <c r="J324" s="24">
        <v>7700</v>
      </c>
      <c r="K324" s="21" t="s">
        <v>19</v>
      </c>
      <c r="L324" s="25">
        <v>0.125</v>
      </c>
      <c r="M324" s="25">
        <v>0.05</v>
      </c>
      <c r="N324" s="22"/>
      <c r="O324" s="23" t="s">
        <v>19</v>
      </c>
      <c r="P324" s="20">
        <f t="shared" si="90"/>
        <v>0</v>
      </c>
      <c r="Q324" s="23" t="s">
        <v>19</v>
      </c>
      <c r="R324" s="24">
        <f t="shared" si="91"/>
        <v>0</v>
      </c>
      <c r="S324" s="24">
        <f t="shared" si="83"/>
        <v>0</v>
      </c>
    </row>
    <row r="325" spans="1:19" s="19" customFormat="1" ht="15">
      <c r="A325" s="18" t="s">
        <v>236</v>
      </c>
      <c r="B325" s="19" t="s">
        <v>18</v>
      </c>
      <c r="C325" s="65"/>
      <c r="D325" s="21" t="s">
        <v>19</v>
      </c>
      <c r="E325" s="26"/>
      <c r="F325" s="22">
        <v>12</v>
      </c>
      <c r="G325" s="23" t="s">
        <v>33</v>
      </c>
      <c r="H325" s="22">
        <v>12</v>
      </c>
      <c r="I325" s="23" t="s">
        <v>19</v>
      </c>
      <c r="J325" s="24">
        <v>11200</v>
      </c>
      <c r="K325" s="21" t="s">
        <v>19</v>
      </c>
      <c r="L325" s="25">
        <v>0.125</v>
      </c>
      <c r="M325" s="25">
        <v>0.05</v>
      </c>
      <c r="N325" s="22"/>
      <c r="O325" s="23" t="s">
        <v>19</v>
      </c>
      <c r="P325" s="20">
        <f t="shared" si="90"/>
        <v>0</v>
      </c>
      <c r="Q325" s="23" t="s">
        <v>19</v>
      </c>
      <c r="R325" s="24">
        <f t="shared" si="91"/>
        <v>0</v>
      </c>
      <c r="S325" s="24">
        <f t="shared" si="83"/>
        <v>0</v>
      </c>
    </row>
    <row r="326" spans="1:19" s="19" customFormat="1">
      <c r="A326" s="18" t="s">
        <v>237</v>
      </c>
      <c r="B326" s="19" t="s">
        <v>18</v>
      </c>
      <c r="C326" s="20"/>
      <c r="D326" s="21" t="s">
        <v>19</v>
      </c>
      <c r="E326" s="26"/>
      <c r="F326" s="22">
        <v>12</v>
      </c>
      <c r="G326" s="23" t="s">
        <v>33</v>
      </c>
      <c r="H326" s="22">
        <v>12</v>
      </c>
      <c r="I326" s="23" t="s">
        <v>19</v>
      </c>
      <c r="J326" s="24">
        <v>7600</v>
      </c>
      <c r="K326" s="21" t="s">
        <v>19</v>
      </c>
      <c r="L326" s="25">
        <v>0.125</v>
      </c>
      <c r="M326" s="25">
        <v>0.05</v>
      </c>
      <c r="N326" s="22"/>
      <c r="O326" s="23" t="s">
        <v>19</v>
      </c>
      <c r="P326" s="20">
        <f t="shared" si="90"/>
        <v>0</v>
      </c>
      <c r="Q326" s="23" t="s">
        <v>19</v>
      </c>
      <c r="R326" s="24">
        <f t="shared" si="91"/>
        <v>0</v>
      </c>
      <c r="S326" s="24">
        <f t="shared" si="83"/>
        <v>0</v>
      </c>
    </row>
    <row r="327" spans="1:19" s="19" customFormat="1">
      <c r="A327" s="18" t="s">
        <v>238</v>
      </c>
      <c r="B327" s="19" t="s">
        <v>18</v>
      </c>
      <c r="C327" s="20"/>
      <c r="D327" s="21" t="s">
        <v>19</v>
      </c>
      <c r="E327" s="26"/>
      <c r="F327" s="22">
        <v>8</v>
      </c>
      <c r="G327" s="23" t="s">
        <v>33</v>
      </c>
      <c r="H327" s="22">
        <v>6</v>
      </c>
      <c r="I327" s="23" t="s">
        <v>19</v>
      </c>
      <c r="J327" s="24">
        <v>65000</v>
      </c>
      <c r="K327" s="21" t="s">
        <v>19</v>
      </c>
      <c r="L327" s="25">
        <v>0.125</v>
      </c>
      <c r="M327" s="25">
        <v>0.05</v>
      </c>
      <c r="N327" s="22"/>
      <c r="O327" s="23" t="s">
        <v>19</v>
      </c>
      <c r="P327" s="20">
        <f t="shared" si="90"/>
        <v>0</v>
      </c>
      <c r="Q327" s="23" t="s">
        <v>19</v>
      </c>
      <c r="R327" s="24">
        <f t="shared" si="91"/>
        <v>0</v>
      </c>
      <c r="S327" s="24">
        <f t="shared" si="83"/>
        <v>0</v>
      </c>
    </row>
    <row r="328" spans="1:19" s="19" customFormat="1">
      <c r="A328" s="18"/>
      <c r="C328" s="20"/>
      <c r="D328" s="21"/>
      <c r="E328" s="26"/>
      <c r="F328" s="22"/>
      <c r="G328" s="23"/>
      <c r="H328" s="22"/>
      <c r="I328" s="23"/>
      <c r="J328" s="24"/>
      <c r="K328" s="21"/>
      <c r="L328" s="25"/>
      <c r="M328" s="25"/>
      <c r="N328" s="22"/>
      <c r="O328" s="23"/>
      <c r="P328" s="20"/>
      <c r="Q328" s="23"/>
      <c r="R328" s="24"/>
      <c r="S328" s="24"/>
    </row>
    <row r="329" spans="1:19" s="19" customFormat="1">
      <c r="A329" s="91" t="s">
        <v>239</v>
      </c>
      <c r="B329" s="19" t="s">
        <v>25</v>
      </c>
      <c r="C329" s="20"/>
      <c r="D329" s="21" t="s">
        <v>41</v>
      </c>
      <c r="E329" s="26">
        <v>2</v>
      </c>
      <c r="F329" s="22">
        <v>1</v>
      </c>
      <c r="G329" s="23" t="s">
        <v>20</v>
      </c>
      <c r="H329" s="22">
        <v>25</v>
      </c>
      <c r="I329" s="23" t="s">
        <v>41</v>
      </c>
      <c r="J329" s="94">
        <v>56400</v>
      </c>
      <c r="K329" s="21" t="s">
        <v>41</v>
      </c>
      <c r="L329" s="25"/>
      <c r="M329" s="25">
        <v>0.17</v>
      </c>
      <c r="N329" s="22"/>
      <c r="O329" s="23" t="s">
        <v>41</v>
      </c>
      <c r="P329" s="20">
        <f t="shared" ref="P329:P336" si="95">(C329+(E329*F329*H329))-N329</f>
        <v>50</v>
      </c>
      <c r="Q329" s="23" t="s">
        <v>41</v>
      </c>
      <c r="R329" s="24">
        <f t="shared" ref="R329:R336" si="96">P329*(J329-(J329*L329)-((J329-(J329*L329))*M329))</f>
        <v>2340600</v>
      </c>
      <c r="S329" s="24">
        <f t="shared" ref="S329" si="97">R329/1.11</f>
        <v>2108648.6486486485</v>
      </c>
    </row>
    <row r="330" spans="1:19" s="19" customFormat="1">
      <c r="A330" s="18" t="s">
        <v>239</v>
      </c>
      <c r="B330" s="19" t="s">
        <v>25</v>
      </c>
      <c r="C330" s="20"/>
      <c r="D330" s="21" t="s">
        <v>41</v>
      </c>
      <c r="E330" s="26"/>
      <c r="F330" s="22">
        <v>1</v>
      </c>
      <c r="G330" s="23" t="s">
        <v>20</v>
      </c>
      <c r="H330" s="22">
        <v>25</v>
      </c>
      <c r="I330" s="23" t="s">
        <v>41</v>
      </c>
      <c r="J330" s="24">
        <f>1245000/25</f>
        <v>49800</v>
      </c>
      <c r="K330" s="21" t="s">
        <v>41</v>
      </c>
      <c r="L330" s="25"/>
      <c r="M330" s="25">
        <v>0.17</v>
      </c>
      <c r="N330" s="22"/>
      <c r="O330" s="23" t="s">
        <v>41</v>
      </c>
      <c r="P330" s="20">
        <f t="shared" si="95"/>
        <v>0</v>
      </c>
      <c r="Q330" s="23" t="s">
        <v>41</v>
      </c>
      <c r="R330" s="24">
        <f t="shared" si="96"/>
        <v>0</v>
      </c>
      <c r="S330" s="24">
        <f t="shared" si="83"/>
        <v>0</v>
      </c>
    </row>
    <row r="331" spans="1:19" s="19" customFormat="1">
      <c r="A331" s="91" t="s">
        <v>240</v>
      </c>
      <c r="B331" s="19" t="s">
        <v>25</v>
      </c>
      <c r="C331" s="20"/>
      <c r="D331" s="21" t="s">
        <v>41</v>
      </c>
      <c r="E331" s="26">
        <v>3</v>
      </c>
      <c r="F331" s="22">
        <v>1</v>
      </c>
      <c r="G331" s="23" t="s">
        <v>20</v>
      </c>
      <c r="H331" s="22">
        <v>25</v>
      </c>
      <c r="I331" s="23" t="s">
        <v>41</v>
      </c>
      <c r="J331" s="94">
        <v>79800</v>
      </c>
      <c r="K331" s="21" t="s">
        <v>41</v>
      </c>
      <c r="L331" s="25"/>
      <c r="M331" s="25">
        <v>0.17</v>
      </c>
      <c r="N331" s="22"/>
      <c r="O331" s="23" t="s">
        <v>41</v>
      </c>
      <c r="P331" s="20">
        <f t="shared" si="95"/>
        <v>75</v>
      </c>
      <c r="Q331" s="23" t="s">
        <v>41</v>
      </c>
      <c r="R331" s="24">
        <f t="shared" si="96"/>
        <v>4967550</v>
      </c>
      <c r="S331" s="24">
        <f t="shared" ref="S331" si="98">R331/1.11</f>
        <v>4475270.2702702703</v>
      </c>
    </row>
    <row r="332" spans="1:19" s="19" customFormat="1">
      <c r="A332" s="18" t="s">
        <v>240</v>
      </c>
      <c r="B332" s="19" t="s">
        <v>25</v>
      </c>
      <c r="C332" s="20"/>
      <c r="D332" s="21" t="s">
        <v>41</v>
      </c>
      <c r="E332" s="26"/>
      <c r="F332" s="22">
        <v>1</v>
      </c>
      <c r="G332" s="23" t="s">
        <v>20</v>
      </c>
      <c r="H332" s="22">
        <v>25</v>
      </c>
      <c r="I332" s="23" t="s">
        <v>41</v>
      </c>
      <c r="J332" s="24">
        <f>1890000/25</f>
        <v>75600</v>
      </c>
      <c r="K332" s="21" t="s">
        <v>41</v>
      </c>
      <c r="L332" s="25"/>
      <c r="M332" s="25">
        <v>0.17</v>
      </c>
      <c r="N332" s="22"/>
      <c r="O332" s="23" t="s">
        <v>41</v>
      </c>
      <c r="P332" s="20">
        <f t="shared" si="95"/>
        <v>0</v>
      </c>
      <c r="Q332" s="23" t="s">
        <v>41</v>
      </c>
      <c r="R332" s="24">
        <f t="shared" si="96"/>
        <v>0</v>
      </c>
      <c r="S332" s="24">
        <f t="shared" si="83"/>
        <v>0</v>
      </c>
    </row>
    <row r="333" spans="1:19" s="19" customFormat="1">
      <c r="A333" s="91" t="s">
        <v>241</v>
      </c>
      <c r="B333" s="19" t="s">
        <v>25</v>
      </c>
      <c r="C333" s="20"/>
      <c r="D333" s="21" t="s">
        <v>41</v>
      </c>
      <c r="E333" s="26">
        <v>2</v>
      </c>
      <c r="F333" s="22">
        <v>1</v>
      </c>
      <c r="G333" s="23" t="s">
        <v>20</v>
      </c>
      <c r="H333" s="22">
        <v>10</v>
      </c>
      <c r="I333" s="23" t="s">
        <v>41</v>
      </c>
      <c r="J333" s="94">
        <v>118800</v>
      </c>
      <c r="K333" s="21" t="s">
        <v>41</v>
      </c>
      <c r="L333" s="25"/>
      <c r="M333" s="25">
        <v>0.17</v>
      </c>
      <c r="N333" s="22"/>
      <c r="O333" s="23" t="s">
        <v>41</v>
      </c>
      <c r="P333" s="20">
        <f t="shared" si="95"/>
        <v>20</v>
      </c>
      <c r="Q333" s="23" t="s">
        <v>41</v>
      </c>
      <c r="R333" s="24">
        <f t="shared" si="96"/>
        <v>1972080</v>
      </c>
      <c r="S333" s="24">
        <f t="shared" ref="S333" si="99">R333/1.11</f>
        <v>1776648.6486486485</v>
      </c>
    </row>
    <row r="334" spans="1:19" s="19" customFormat="1">
      <c r="A334" s="18" t="s">
        <v>241</v>
      </c>
      <c r="B334" s="19" t="s">
        <v>25</v>
      </c>
      <c r="C334" s="20"/>
      <c r="D334" s="21" t="s">
        <v>41</v>
      </c>
      <c r="E334" s="26"/>
      <c r="F334" s="22">
        <v>1</v>
      </c>
      <c r="G334" s="23" t="s">
        <v>20</v>
      </c>
      <c r="H334" s="22">
        <v>10</v>
      </c>
      <c r="I334" s="23" t="s">
        <v>41</v>
      </c>
      <c r="J334" s="24">
        <f>1122000/10</f>
        <v>112200</v>
      </c>
      <c r="K334" s="21" t="s">
        <v>41</v>
      </c>
      <c r="L334" s="25"/>
      <c r="M334" s="25">
        <v>0.17</v>
      </c>
      <c r="N334" s="22"/>
      <c r="O334" s="23" t="s">
        <v>41</v>
      </c>
      <c r="P334" s="20">
        <f t="shared" si="95"/>
        <v>0</v>
      </c>
      <c r="Q334" s="23" t="s">
        <v>41</v>
      </c>
      <c r="R334" s="24">
        <f t="shared" si="96"/>
        <v>0</v>
      </c>
      <c r="S334" s="24">
        <f t="shared" si="83"/>
        <v>0</v>
      </c>
    </row>
    <row r="335" spans="1:19" s="19" customFormat="1">
      <c r="A335" s="18" t="s">
        <v>685</v>
      </c>
      <c r="B335" s="19" t="s">
        <v>25</v>
      </c>
      <c r="C335" s="20"/>
      <c r="D335" s="21" t="s">
        <v>41</v>
      </c>
      <c r="E335" s="26"/>
      <c r="F335" s="22">
        <v>1</v>
      </c>
      <c r="G335" s="23" t="s">
        <v>20</v>
      </c>
      <c r="H335" s="22">
        <v>25</v>
      </c>
      <c r="I335" s="23" t="s">
        <v>41</v>
      </c>
      <c r="J335" s="24">
        <f>2010000/25</f>
        <v>80400</v>
      </c>
      <c r="K335" s="21" t="s">
        <v>41</v>
      </c>
      <c r="L335" s="25"/>
      <c r="M335" s="25">
        <v>0.17</v>
      </c>
      <c r="N335" s="22"/>
      <c r="O335" s="23" t="s">
        <v>41</v>
      </c>
      <c r="P335" s="20">
        <f t="shared" si="95"/>
        <v>0</v>
      </c>
      <c r="Q335" s="23" t="s">
        <v>41</v>
      </c>
      <c r="R335" s="24">
        <f t="shared" si="96"/>
        <v>0</v>
      </c>
      <c r="S335" s="24">
        <f t="shared" si="83"/>
        <v>0</v>
      </c>
    </row>
    <row r="336" spans="1:19" s="19" customFormat="1">
      <c r="A336" s="18" t="s">
        <v>242</v>
      </c>
      <c r="B336" s="19" t="s">
        <v>25</v>
      </c>
      <c r="C336" s="20"/>
      <c r="D336" s="21" t="s">
        <v>41</v>
      </c>
      <c r="E336" s="26"/>
      <c r="F336" s="22">
        <v>1</v>
      </c>
      <c r="G336" s="23" t="s">
        <v>20</v>
      </c>
      <c r="H336" s="22">
        <v>10</v>
      </c>
      <c r="I336" s="23" t="s">
        <v>41</v>
      </c>
      <c r="J336" s="24">
        <f>1260000/10</f>
        <v>126000</v>
      </c>
      <c r="K336" s="21" t="s">
        <v>41</v>
      </c>
      <c r="L336" s="25"/>
      <c r="M336" s="25">
        <v>0.17</v>
      </c>
      <c r="N336" s="22"/>
      <c r="O336" s="23" t="s">
        <v>41</v>
      </c>
      <c r="P336" s="20">
        <f t="shared" si="95"/>
        <v>0</v>
      </c>
      <c r="Q336" s="23" t="s">
        <v>41</v>
      </c>
      <c r="R336" s="24">
        <f t="shared" si="96"/>
        <v>0</v>
      </c>
      <c r="S336" s="24">
        <f t="shared" si="83"/>
        <v>0</v>
      </c>
    </row>
    <row r="337" spans="1:19" s="19" customFormat="1">
      <c r="A337" s="18"/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 ht="15.75">
      <c r="A338" s="44" t="s">
        <v>243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>
      <c r="A339" s="66" t="s">
        <v>244</v>
      </c>
      <c r="B339" s="19" t="s">
        <v>25</v>
      </c>
      <c r="C339" s="20"/>
      <c r="D339" s="21" t="s">
        <v>19</v>
      </c>
      <c r="E339" s="26"/>
      <c r="F339" s="22">
        <v>20</v>
      </c>
      <c r="G339" s="23" t="s">
        <v>33</v>
      </c>
      <c r="H339" s="22">
        <v>10</v>
      </c>
      <c r="I339" s="23" t="s">
        <v>19</v>
      </c>
      <c r="J339" s="24">
        <f>3800000/20/10</f>
        <v>19000</v>
      </c>
      <c r="K339" s="21" t="s">
        <v>19</v>
      </c>
      <c r="L339" s="25"/>
      <c r="M339" s="25">
        <v>0.17</v>
      </c>
      <c r="N339" s="22"/>
      <c r="O339" s="23" t="s">
        <v>19</v>
      </c>
      <c r="P339" s="20">
        <f>(C339+(E339*F339*H339))-N339</f>
        <v>0</v>
      </c>
      <c r="Q339" s="23" t="s">
        <v>19</v>
      </c>
      <c r="R339" s="24">
        <f>P339*(J339-(J339*L339)-((J339-(J339*L339))*M339))</f>
        <v>0</v>
      </c>
      <c r="S339" s="24">
        <f t="shared" si="83"/>
        <v>0</v>
      </c>
    </row>
    <row r="340" spans="1:19" s="19" customFormat="1">
      <c r="A340" s="66" t="s">
        <v>245</v>
      </c>
      <c r="B340" s="19" t="s">
        <v>25</v>
      </c>
      <c r="C340" s="20"/>
      <c r="D340" s="21" t="s">
        <v>19</v>
      </c>
      <c r="E340" s="26"/>
      <c r="F340" s="22">
        <v>20</v>
      </c>
      <c r="G340" s="23" t="s">
        <v>33</v>
      </c>
      <c r="H340" s="22">
        <v>12</v>
      </c>
      <c r="I340" s="23" t="s">
        <v>19</v>
      </c>
      <c r="J340" s="24">
        <f>3120000/20/12</f>
        <v>13000</v>
      </c>
      <c r="K340" s="21" t="s">
        <v>19</v>
      </c>
      <c r="L340" s="25"/>
      <c r="M340" s="25">
        <v>0.17</v>
      </c>
      <c r="N340" s="22"/>
      <c r="O340" s="23" t="s">
        <v>19</v>
      </c>
      <c r="P340" s="20">
        <f>(C340+(E340*F340*H340))-N340</f>
        <v>0</v>
      </c>
      <c r="Q340" s="23" t="s">
        <v>19</v>
      </c>
      <c r="R340" s="24">
        <f>P340*(J340-(J340*L340)-((J340-(J340*L340))*M340))</f>
        <v>0</v>
      </c>
      <c r="S340" s="24">
        <f t="shared" si="83"/>
        <v>0</v>
      </c>
    </row>
    <row r="341" spans="1:19" s="19" customFormat="1">
      <c r="A341" s="18"/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 ht="15.75">
      <c r="A342" s="44" t="s">
        <v>246</v>
      </c>
      <c r="C342" s="20"/>
      <c r="D342" s="21"/>
      <c r="E342" s="26"/>
      <c r="F342" s="22"/>
      <c r="G342" s="23"/>
      <c r="H342" s="22"/>
      <c r="I342" s="23"/>
      <c r="J342" s="24"/>
      <c r="K342" s="21"/>
      <c r="L342" s="25"/>
      <c r="M342" s="25"/>
      <c r="N342" s="22"/>
      <c r="O342" s="23"/>
      <c r="P342" s="20"/>
      <c r="Q342" s="23"/>
      <c r="R342" s="24"/>
      <c r="S342" s="24"/>
    </row>
    <row r="343" spans="1:19" s="19" customFormat="1">
      <c r="A343" s="18" t="s">
        <v>247</v>
      </c>
      <c r="B343" s="19" t="s">
        <v>18</v>
      </c>
      <c r="C343" s="20"/>
      <c r="D343" s="21" t="s">
        <v>41</v>
      </c>
      <c r="E343" s="26"/>
      <c r="F343" s="22">
        <v>1</v>
      </c>
      <c r="G343" s="23" t="s">
        <v>20</v>
      </c>
      <c r="H343" s="22">
        <v>24</v>
      </c>
      <c r="I343" s="23" t="s">
        <v>41</v>
      </c>
      <c r="J343" s="24">
        <v>88200</v>
      </c>
      <c r="K343" s="21" t="s">
        <v>41</v>
      </c>
      <c r="L343" s="25">
        <v>0.125</v>
      </c>
      <c r="M343" s="25">
        <v>0.05</v>
      </c>
      <c r="N343" s="22"/>
      <c r="O343" s="23" t="s">
        <v>41</v>
      </c>
      <c r="P343" s="20">
        <f t="shared" ref="P343:P352" si="100">(C343+(E343*F343*H343))-N343</f>
        <v>0</v>
      </c>
      <c r="Q343" s="23" t="s">
        <v>41</v>
      </c>
      <c r="R343" s="24">
        <f t="shared" ref="R343:R352" si="101">P343*(J343-(J343*L343)-((J343-(J343*L343))*M343))</f>
        <v>0</v>
      </c>
      <c r="S343" s="24">
        <f t="shared" si="83"/>
        <v>0</v>
      </c>
    </row>
    <row r="344" spans="1:19" s="19" customFormat="1">
      <c r="A344" s="18" t="s">
        <v>662</v>
      </c>
      <c r="B344" s="19" t="s">
        <v>18</v>
      </c>
      <c r="C344" s="20"/>
      <c r="D344" s="21" t="s">
        <v>41</v>
      </c>
      <c r="E344" s="26"/>
      <c r="F344" s="22">
        <v>1</v>
      </c>
      <c r="G344" s="23" t="s">
        <v>20</v>
      </c>
      <c r="H344" s="22">
        <v>24</v>
      </c>
      <c r="I344" s="23" t="s">
        <v>41</v>
      </c>
      <c r="J344" s="24">
        <v>114000</v>
      </c>
      <c r="K344" s="21" t="s">
        <v>41</v>
      </c>
      <c r="L344" s="25">
        <v>0.125</v>
      </c>
      <c r="M344" s="25">
        <v>0.05</v>
      </c>
      <c r="N344" s="22"/>
      <c r="O344" s="23" t="s">
        <v>41</v>
      </c>
      <c r="P344" s="20">
        <f t="shared" si="100"/>
        <v>0</v>
      </c>
      <c r="Q344" s="23" t="s">
        <v>41</v>
      </c>
      <c r="R344" s="24">
        <f t="shared" si="101"/>
        <v>0</v>
      </c>
      <c r="S344" s="24">
        <f t="shared" si="83"/>
        <v>0</v>
      </c>
    </row>
    <row r="345" spans="1:19" s="19" customFormat="1">
      <c r="A345" s="18" t="s">
        <v>248</v>
      </c>
      <c r="B345" s="19" t="s">
        <v>18</v>
      </c>
      <c r="C345" s="20"/>
      <c r="D345" s="21" t="s">
        <v>41</v>
      </c>
      <c r="E345" s="26"/>
      <c r="F345" s="22">
        <v>1</v>
      </c>
      <c r="G345" s="23" t="s">
        <v>20</v>
      </c>
      <c r="H345" s="22">
        <v>24</v>
      </c>
      <c r="I345" s="23" t="s">
        <v>41</v>
      </c>
      <c r="J345" s="24">
        <v>88200</v>
      </c>
      <c r="K345" s="21" t="s">
        <v>41</v>
      </c>
      <c r="L345" s="25">
        <v>0.125</v>
      </c>
      <c r="M345" s="25">
        <v>0.05</v>
      </c>
      <c r="N345" s="22"/>
      <c r="O345" s="23" t="s">
        <v>41</v>
      </c>
      <c r="P345" s="20">
        <f t="shared" si="100"/>
        <v>0</v>
      </c>
      <c r="Q345" s="23" t="s">
        <v>41</v>
      </c>
      <c r="R345" s="24">
        <f t="shared" si="101"/>
        <v>0</v>
      </c>
      <c r="S345" s="24">
        <f t="shared" si="83"/>
        <v>0</v>
      </c>
    </row>
    <row r="346" spans="1:19" s="19" customFormat="1">
      <c r="A346" s="18" t="s">
        <v>249</v>
      </c>
      <c r="B346" s="19" t="s">
        <v>18</v>
      </c>
      <c r="C346" s="20"/>
      <c r="D346" s="21" t="s">
        <v>41</v>
      </c>
      <c r="E346" s="26"/>
      <c r="F346" s="22">
        <v>1</v>
      </c>
      <c r="G346" s="23" t="s">
        <v>20</v>
      </c>
      <c r="H346" s="22">
        <v>24</v>
      </c>
      <c r="I346" s="23" t="s">
        <v>41</v>
      </c>
      <c r="J346" s="24">
        <v>89400</v>
      </c>
      <c r="K346" s="21" t="s">
        <v>41</v>
      </c>
      <c r="L346" s="25">
        <v>0.125</v>
      </c>
      <c r="M346" s="25">
        <v>0.05</v>
      </c>
      <c r="N346" s="22"/>
      <c r="O346" s="23" t="s">
        <v>41</v>
      </c>
      <c r="P346" s="20">
        <f t="shared" si="100"/>
        <v>0</v>
      </c>
      <c r="Q346" s="23" t="s">
        <v>41</v>
      </c>
      <c r="R346" s="24">
        <f t="shared" si="101"/>
        <v>0</v>
      </c>
      <c r="S346" s="24">
        <f t="shared" si="83"/>
        <v>0</v>
      </c>
    </row>
    <row r="347" spans="1:19" s="19" customFormat="1">
      <c r="A347" s="18" t="s">
        <v>250</v>
      </c>
      <c r="B347" s="19" t="s">
        <v>18</v>
      </c>
      <c r="C347" s="20"/>
      <c r="D347" s="21" t="s">
        <v>157</v>
      </c>
      <c r="E347" s="26"/>
      <c r="F347" s="22">
        <v>12</v>
      </c>
      <c r="G347" s="23" t="s">
        <v>33</v>
      </c>
      <c r="H347" s="22">
        <v>24</v>
      </c>
      <c r="I347" s="23" t="s">
        <v>157</v>
      </c>
      <c r="J347" s="24">
        <v>12000</v>
      </c>
      <c r="K347" s="21" t="s">
        <v>157</v>
      </c>
      <c r="L347" s="25">
        <v>0.125</v>
      </c>
      <c r="M347" s="25">
        <v>0.05</v>
      </c>
      <c r="N347" s="22"/>
      <c r="O347" s="23" t="s">
        <v>157</v>
      </c>
      <c r="P347" s="20">
        <f t="shared" si="100"/>
        <v>0</v>
      </c>
      <c r="Q347" s="23" t="s">
        <v>157</v>
      </c>
      <c r="R347" s="24">
        <f t="shared" si="101"/>
        <v>0</v>
      </c>
      <c r="S347" s="24">
        <f t="shared" si="83"/>
        <v>0</v>
      </c>
    </row>
    <row r="348" spans="1:19" s="19" customFormat="1">
      <c r="A348" s="18" t="s">
        <v>251</v>
      </c>
      <c r="B348" s="19" t="s">
        <v>18</v>
      </c>
      <c r="C348" s="20"/>
      <c r="D348" s="21" t="s">
        <v>157</v>
      </c>
      <c r="E348" s="26"/>
      <c r="F348" s="22">
        <v>10</v>
      </c>
      <c r="G348" s="23" t="s">
        <v>33</v>
      </c>
      <c r="H348" s="22">
        <v>10</v>
      </c>
      <c r="I348" s="23" t="s">
        <v>157</v>
      </c>
      <c r="J348" s="24">
        <v>28000</v>
      </c>
      <c r="K348" s="21" t="s">
        <v>157</v>
      </c>
      <c r="L348" s="25">
        <v>0.125</v>
      </c>
      <c r="M348" s="25">
        <v>0.05</v>
      </c>
      <c r="N348" s="22"/>
      <c r="O348" s="23" t="s">
        <v>157</v>
      </c>
      <c r="P348" s="20">
        <f t="shared" si="100"/>
        <v>0</v>
      </c>
      <c r="Q348" s="23" t="s">
        <v>157</v>
      </c>
      <c r="R348" s="24">
        <f t="shared" si="101"/>
        <v>0</v>
      </c>
      <c r="S348" s="24">
        <f t="shared" si="83"/>
        <v>0</v>
      </c>
    </row>
    <row r="349" spans="1:19" s="19" customFormat="1">
      <c r="A349" s="18" t="s">
        <v>252</v>
      </c>
      <c r="B349" s="19" t="s">
        <v>18</v>
      </c>
      <c r="C349" s="20"/>
      <c r="D349" s="21" t="s">
        <v>157</v>
      </c>
      <c r="E349" s="26"/>
      <c r="F349" s="22">
        <v>10</v>
      </c>
      <c r="G349" s="23" t="s">
        <v>33</v>
      </c>
      <c r="H349" s="22">
        <v>10</v>
      </c>
      <c r="I349" s="23" t="s">
        <v>157</v>
      </c>
      <c r="J349" s="24">
        <v>33500</v>
      </c>
      <c r="K349" s="21" t="s">
        <v>157</v>
      </c>
      <c r="L349" s="25">
        <v>0.125</v>
      </c>
      <c r="M349" s="25">
        <v>0.05</v>
      </c>
      <c r="N349" s="22"/>
      <c r="O349" s="23" t="s">
        <v>157</v>
      </c>
      <c r="P349" s="20">
        <f t="shared" si="100"/>
        <v>0</v>
      </c>
      <c r="Q349" s="23" t="s">
        <v>157</v>
      </c>
      <c r="R349" s="24">
        <f t="shared" si="101"/>
        <v>0</v>
      </c>
      <c r="S349" s="24">
        <f t="shared" si="83"/>
        <v>0</v>
      </c>
    </row>
    <row r="350" spans="1:19" s="19" customFormat="1">
      <c r="A350" s="18" t="s">
        <v>253</v>
      </c>
      <c r="B350" s="19" t="s">
        <v>18</v>
      </c>
      <c r="C350" s="20"/>
      <c r="D350" s="21" t="s">
        <v>157</v>
      </c>
      <c r="E350" s="26"/>
      <c r="F350" s="22">
        <v>8</v>
      </c>
      <c r="G350" s="23" t="s">
        <v>33</v>
      </c>
      <c r="H350" s="22">
        <v>10</v>
      </c>
      <c r="I350" s="23" t="s">
        <v>157</v>
      </c>
      <c r="J350" s="24">
        <v>48500</v>
      </c>
      <c r="K350" s="21" t="s">
        <v>157</v>
      </c>
      <c r="L350" s="25">
        <v>0.125</v>
      </c>
      <c r="M350" s="25">
        <v>0.05</v>
      </c>
      <c r="N350" s="22"/>
      <c r="O350" s="23" t="s">
        <v>157</v>
      </c>
      <c r="P350" s="20">
        <f t="shared" si="100"/>
        <v>0</v>
      </c>
      <c r="Q350" s="23" t="s">
        <v>157</v>
      </c>
      <c r="R350" s="24">
        <f t="shared" si="101"/>
        <v>0</v>
      </c>
      <c r="S350" s="24">
        <f t="shared" si="83"/>
        <v>0</v>
      </c>
    </row>
    <row r="351" spans="1:19" s="19" customFormat="1">
      <c r="A351" s="18" t="s">
        <v>254</v>
      </c>
      <c r="B351" s="19" t="s">
        <v>18</v>
      </c>
      <c r="C351" s="20"/>
      <c r="D351" s="21" t="s">
        <v>157</v>
      </c>
      <c r="E351" s="26"/>
      <c r="F351" s="22">
        <v>10</v>
      </c>
      <c r="G351" s="23" t="s">
        <v>33</v>
      </c>
      <c r="H351" s="22">
        <v>12</v>
      </c>
      <c r="I351" s="23" t="s">
        <v>157</v>
      </c>
      <c r="J351" s="24">
        <v>17000</v>
      </c>
      <c r="K351" s="21" t="s">
        <v>157</v>
      </c>
      <c r="L351" s="25">
        <v>0.125</v>
      </c>
      <c r="M351" s="25">
        <v>0.05</v>
      </c>
      <c r="N351" s="22"/>
      <c r="O351" s="23" t="s">
        <v>157</v>
      </c>
      <c r="P351" s="20">
        <f t="shared" si="100"/>
        <v>0</v>
      </c>
      <c r="Q351" s="23" t="s">
        <v>157</v>
      </c>
      <c r="R351" s="24">
        <f t="shared" si="101"/>
        <v>0</v>
      </c>
      <c r="S351" s="24">
        <f t="shared" si="83"/>
        <v>0</v>
      </c>
    </row>
    <row r="352" spans="1:19" s="19" customFormat="1">
      <c r="A352" s="18" t="s">
        <v>255</v>
      </c>
      <c r="B352" s="19" t="s">
        <v>18</v>
      </c>
      <c r="C352" s="20"/>
      <c r="D352" s="21" t="s">
        <v>157</v>
      </c>
      <c r="E352" s="26"/>
      <c r="F352" s="22">
        <v>24</v>
      </c>
      <c r="G352" s="23" t="s">
        <v>33</v>
      </c>
      <c r="H352" s="22">
        <v>12</v>
      </c>
      <c r="I352" s="23" t="s">
        <v>157</v>
      </c>
      <c r="J352" s="24">
        <v>13300</v>
      </c>
      <c r="K352" s="21" t="s">
        <v>157</v>
      </c>
      <c r="L352" s="25">
        <v>0.125</v>
      </c>
      <c r="M352" s="25">
        <v>0.05</v>
      </c>
      <c r="N352" s="22"/>
      <c r="O352" s="23" t="s">
        <v>157</v>
      </c>
      <c r="P352" s="20">
        <f t="shared" si="100"/>
        <v>0</v>
      </c>
      <c r="Q352" s="23" t="s">
        <v>157</v>
      </c>
      <c r="R352" s="24">
        <f t="shared" si="101"/>
        <v>0</v>
      </c>
      <c r="S352" s="24">
        <f t="shared" si="83"/>
        <v>0</v>
      </c>
    </row>
    <row r="353" spans="1:19" s="19" customFormat="1">
      <c r="A353" s="18"/>
      <c r="C353" s="20"/>
      <c r="D353" s="21"/>
      <c r="E353" s="26"/>
      <c r="F353" s="22"/>
      <c r="G353" s="23"/>
      <c r="H353" s="22"/>
      <c r="I353" s="23"/>
      <c r="J353" s="24"/>
      <c r="K353" s="21"/>
      <c r="L353" s="25"/>
      <c r="M353" s="25"/>
      <c r="N353" s="22"/>
      <c r="O353" s="23"/>
      <c r="P353" s="20"/>
      <c r="Q353" s="23"/>
      <c r="R353" s="24"/>
      <c r="S353" s="24"/>
    </row>
    <row r="354" spans="1:19" s="19" customFormat="1">
      <c r="A354" s="59" t="s">
        <v>256</v>
      </c>
      <c r="B354" s="19" t="s">
        <v>25</v>
      </c>
      <c r="C354" s="20"/>
      <c r="D354" s="21" t="s">
        <v>19</v>
      </c>
      <c r="E354" s="26"/>
      <c r="F354" s="22">
        <v>24</v>
      </c>
      <c r="G354" s="23" t="s">
        <v>41</v>
      </c>
      <c r="H354" s="22">
        <v>12</v>
      </c>
      <c r="I354" s="23" t="s">
        <v>19</v>
      </c>
      <c r="J354" s="24">
        <f>2160000/24/12</f>
        <v>7500</v>
      </c>
      <c r="K354" s="21" t="s">
        <v>19</v>
      </c>
      <c r="L354" s="25"/>
      <c r="M354" s="25">
        <v>0.17</v>
      </c>
      <c r="N354" s="22"/>
      <c r="O354" s="23" t="s">
        <v>19</v>
      </c>
      <c r="P354" s="20">
        <f t="shared" ref="P354:P357" si="102">(C354+(E354*F354*H354))-N354</f>
        <v>0</v>
      </c>
      <c r="Q354" s="23" t="s">
        <v>19</v>
      </c>
      <c r="R354" s="24">
        <f t="shared" ref="R354:R357" si="103">P354*(J354-(J354*L354)-((J354-(J354*L354))*M354))</f>
        <v>0</v>
      </c>
      <c r="S354" s="24">
        <f t="shared" si="83"/>
        <v>0</v>
      </c>
    </row>
    <row r="355" spans="1:19" s="19" customFormat="1">
      <c r="A355" s="59" t="s">
        <v>257</v>
      </c>
      <c r="B355" s="19" t="s">
        <v>25</v>
      </c>
      <c r="C355" s="20"/>
      <c r="D355" s="21" t="s">
        <v>19</v>
      </c>
      <c r="E355" s="26"/>
      <c r="F355" s="22">
        <v>24</v>
      </c>
      <c r="G355" s="23" t="s">
        <v>41</v>
      </c>
      <c r="H355" s="22">
        <v>12</v>
      </c>
      <c r="I355" s="23" t="s">
        <v>19</v>
      </c>
      <c r="J355" s="24">
        <f>2160000/24/12</f>
        <v>7500</v>
      </c>
      <c r="K355" s="21" t="s">
        <v>19</v>
      </c>
      <c r="L355" s="25"/>
      <c r="M355" s="25">
        <v>0.17</v>
      </c>
      <c r="N355" s="22"/>
      <c r="O355" s="23" t="s">
        <v>19</v>
      </c>
      <c r="P355" s="20">
        <f t="shared" si="102"/>
        <v>0</v>
      </c>
      <c r="Q355" s="23" t="s">
        <v>19</v>
      </c>
      <c r="R355" s="24">
        <f t="shared" si="103"/>
        <v>0</v>
      </c>
      <c r="S355" s="24">
        <f t="shared" si="83"/>
        <v>0</v>
      </c>
    </row>
    <row r="356" spans="1:19" s="19" customFormat="1">
      <c r="A356" s="59" t="s">
        <v>814</v>
      </c>
      <c r="B356" s="19" t="s">
        <v>25</v>
      </c>
      <c r="C356" s="20"/>
      <c r="D356" s="21" t="s">
        <v>19</v>
      </c>
      <c r="E356" s="26"/>
      <c r="F356" s="22">
        <v>24</v>
      </c>
      <c r="G356" s="23" t="s">
        <v>41</v>
      </c>
      <c r="H356" s="22">
        <v>12</v>
      </c>
      <c r="I356" s="23" t="s">
        <v>19</v>
      </c>
      <c r="J356" s="24">
        <f>2160000/24/12</f>
        <v>7500</v>
      </c>
      <c r="K356" s="21" t="s">
        <v>19</v>
      </c>
      <c r="L356" s="25"/>
      <c r="M356" s="25">
        <v>0.17</v>
      </c>
      <c r="N356" s="22"/>
      <c r="O356" s="23" t="s">
        <v>19</v>
      </c>
      <c r="P356" s="20">
        <f t="shared" si="102"/>
        <v>0</v>
      </c>
      <c r="Q356" s="23" t="s">
        <v>19</v>
      </c>
      <c r="R356" s="24">
        <f t="shared" si="103"/>
        <v>0</v>
      </c>
      <c r="S356" s="24">
        <f t="shared" si="83"/>
        <v>0</v>
      </c>
    </row>
    <row r="357" spans="1:19" s="19" customFormat="1">
      <c r="A357" s="59" t="s">
        <v>815</v>
      </c>
      <c r="B357" s="19" t="s">
        <v>25</v>
      </c>
      <c r="C357" s="20"/>
      <c r="D357" s="21" t="s">
        <v>19</v>
      </c>
      <c r="E357" s="26"/>
      <c r="F357" s="22">
        <v>12</v>
      </c>
      <c r="G357" s="23" t="s">
        <v>41</v>
      </c>
      <c r="H357" s="22">
        <v>12</v>
      </c>
      <c r="I357" s="23" t="s">
        <v>19</v>
      </c>
      <c r="J357" s="24">
        <f>3024000/12/12</f>
        <v>21000</v>
      </c>
      <c r="K357" s="21" t="s">
        <v>19</v>
      </c>
      <c r="L357" s="25"/>
      <c r="M357" s="25">
        <v>0.17</v>
      </c>
      <c r="N357" s="22"/>
      <c r="O357" s="23" t="s">
        <v>19</v>
      </c>
      <c r="P357" s="20">
        <f t="shared" si="102"/>
        <v>0</v>
      </c>
      <c r="Q357" s="23" t="s">
        <v>19</v>
      </c>
      <c r="R357" s="24">
        <f t="shared" si="103"/>
        <v>0</v>
      </c>
      <c r="S357" s="24">
        <f t="shared" si="83"/>
        <v>0</v>
      </c>
    </row>
    <row r="358" spans="1:19" s="19" customFormat="1">
      <c r="A358" s="18"/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 ht="15.75">
      <c r="A359" s="44" t="s">
        <v>258</v>
      </c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19" customFormat="1">
      <c r="A360" s="18" t="s">
        <v>259</v>
      </c>
      <c r="B360" s="19" t="s">
        <v>18</v>
      </c>
      <c r="C360" s="20"/>
      <c r="D360" s="21" t="s">
        <v>33</v>
      </c>
      <c r="E360" s="26"/>
      <c r="F360" s="22">
        <v>1</v>
      </c>
      <c r="G360" s="23" t="s">
        <v>20</v>
      </c>
      <c r="H360" s="22">
        <v>20</v>
      </c>
      <c r="I360" s="23" t="s">
        <v>33</v>
      </c>
      <c r="J360" s="24">
        <f>6200*12</f>
        <v>74400</v>
      </c>
      <c r="K360" s="21" t="s">
        <v>33</v>
      </c>
      <c r="L360" s="25">
        <v>0.125</v>
      </c>
      <c r="M360" s="25">
        <v>0.05</v>
      </c>
      <c r="N360" s="22"/>
      <c r="O360" s="23" t="s">
        <v>33</v>
      </c>
      <c r="P360" s="20">
        <f>(C360+(E360*F360*H360))-N360</f>
        <v>0</v>
      </c>
      <c r="Q360" s="23" t="s">
        <v>33</v>
      </c>
      <c r="R360" s="24">
        <f>P360*(J360-(J360*L360)-((J360-(J360*L360))*M360))</f>
        <v>0</v>
      </c>
      <c r="S360" s="24">
        <f t="shared" si="83"/>
        <v>0</v>
      </c>
    </row>
    <row r="361" spans="1:19" s="19" customFormat="1">
      <c r="A361" s="18" t="s">
        <v>260</v>
      </c>
      <c r="B361" s="19" t="s">
        <v>18</v>
      </c>
      <c r="C361" s="20"/>
      <c r="D361" s="21" t="s">
        <v>33</v>
      </c>
      <c r="E361" s="26"/>
      <c r="F361" s="22">
        <v>1</v>
      </c>
      <c r="G361" s="23" t="s">
        <v>20</v>
      </c>
      <c r="H361" s="22">
        <v>20</v>
      </c>
      <c r="I361" s="23" t="s">
        <v>33</v>
      </c>
      <c r="J361" s="24">
        <f>6800*12</f>
        <v>81600</v>
      </c>
      <c r="K361" s="21" t="s">
        <v>33</v>
      </c>
      <c r="L361" s="25">
        <v>0.125</v>
      </c>
      <c r="M361" s="25">
        <v>0.05</v>
      </c>
      <c r="N361" s="22"/>
      <c r="O361" s="23" t="s">
        <v>33</v>
      </c>
      <c r="P361" s="20">
        <f>(C361+(E361*F361*H361))-N361</f>
        <v>0</v>
      </c>
      <c r="Q361" s="23" t="s">
        <v>33</v>
      </c>
      <c r="R361" s="24">
        <f>P361*(J361-(J361*L361)-((J361-(J361*L361))*M361))</f>
        <v>0</v>
      </c>
      <c r="S361" s="24">
        <f t="shared" si="83"/>
        <v>0</v>
      </c>
    </row>
    <row r="362" spans="1:19" s="19" customFormat="1">
      <c r="A362" s="18"/>
      <c r="C362" s="20"/>
      <c r="D362" s="21"/>
      <c r="E362" s="26"/>
      <c r="F362" s="22"/>
      <c r="G362" s="23"/>
      <c r="H362" s="22"/>
      <c r="I362" s="23"/>
      <c r="J362" s="24"/>
      <c r="K362" s="21"/>
      <c r="L362" s="25"/>
      <c r="M362" s="25"/>
      <c r="N362" s="22"/>
      <c r="O362" s="23"/>
      <c r="P362" s="20"/>
      <c r="Q362" s="23"/>
      <c r="R362" s="24"/>
      <c r="S362" s="24"/>
    </row>
    <row r="363" spans="1:19" s="19" customFormat="1" ht="15.75">
      <c r="A363" s="44" t="s">
        <v>261</v>
      </c>
      <c r="C363" s="20"/>
      <c r="D363" s="21"/>
      <c r="E363" s="26"/>
      <c r="F363" s="22"/>
      <c r="G363" s="23"/>
      <c r="H363" s="22"/>
      <c r="I363" s="23"/>
      <c r="J363" s="24"/>
      <c r="K363" s="21"/>
      <c r="L363" s="25"/>
      <c r="M363" s="25"/>
      <c r="N363" s="22"/>
      <c r="O363" s="23"/>
      <c r="P363" s="20"/>
      <c r="Q363" s="23"/>
      <c r="R363" s="24"/>
      <c r="S363" s="24"/>
    </row>
    <row r="364" spans="1:19" s="19" customFormat="1">
      <c r="A364" s="88" t="s">
        <v>262</v>
      </c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>
      <c r="A365" s="18" t="s">
        <v>263</v>
      </c>
      <c r="B365" s="19" t="s">
        <v>25</v>
      </c>
      <c r="C365" s="20"/>
      <c r="D365" s="21" t="s">
        <v>100</v>
      </c>
      <c r="E365" s="26"/>
      <c r="F365" s="22">
        <v>1</v>
      </c>
      <c r="G365" s="23" t="s">
        <v>20</v>
      </c>
      <c r="H365" s="22">
        <v>50</v>
      </c>
      <c r="I365" s="23" t="s">
        <v>100</v>
      </c>
      <c r="J365" s="24">
        <f>740000/50</f>
        <v>14800</v>
      </c>
      <c r="K365" s="21" t="s">
        <v>100</v>
      </c>
      <c r="L365" s="25"/>
      <c r="M365" s="25">
        <v>0.17</v>
      </c>
      <c r="N365" s="22"/>
      <c r="O365" s="23" t="s">
        <v>100</v>
      </c>
      <c r="P365" s="20">
        <f>(C365+(E365*F365*H365))-N365</f>
        <v>0</v>
      </c>
      <c r="Q365" s="23" t="s">
        <v>100</v>
      </c>
      <c r="R365" s="24">
        <f>P365*(J365-(J365*L365)-((J365-(J365*L365))*M365))</f>
        <v>0</v>
      </c>
      <c r="S365" s="24">
        <f t="shared" si="83"/>
        <v>0</v>
      </c>
    </row>
    <row r="366" spans="1:19" s="19" customFormat="1">
      <c r="A366" s="88" t="s">
        <v>264</v>
      </c>
      <c r="C366" s="20"/>
      <c r="D366" s="21"/>
      <c r="E366" s="26"/>
      <c r="F366" s="22"/>
      <c r="G366" s="23"/>
      <c r="H366" s="22"/>
      <c r="I366" s="23"/>
      <c r="J366" s="24"/>
      <c r="K366" s="21"/>
      <c r="L366" s="25"/>
      <c r="M366" s="25"/>
      <c r="N366" s="22"/>
      <c r="O366" s="23"/>
      <c r="P366" s="20"/>
      <c r="Q366" s="23"/>
      <c r="R366" s="24"/>
      <c r="S366" s="24"/>
    </row>
    <row r="367" spans="1:19" s="19" customFormat="1">
      <c r="A367" s="18" t="s">
        <v>265</v>
      </c>
      <c r="B367" s="19" t="s">
        <v>266</v>
      </c>
      <c r="C367" s="20"/>
      <c r="D367" s="21" t="s">
        <v>100</v>
      </c>
      <c r="E367" s="26"/>
      <c r="F367" s="22">
        <v>1</v>
      </c>
      <c r="G367" s="23" t="s">
        <v>20</v>
      </c>
      <c r="H367" s="22">
        <v>50</v>
      </c>
      <c r="I367" s="23" t="s">
        <v>100</v>
      </c>
      <c r="J367" s="24">
        <v>32500</v>
      </c>
      <c r="K367" s="21" t="s">
        <v>100</v>
      </c>
      <c r="L367" s="25"/>
      <c r="M367" s="25"/>
      <c r="N367" s="22"/>
      <c r="O367" s="23" t="s">
        <v>100</v>
      </c>
      <c r="P367" s="20">
        <f>(C367+(E367*F367*H367))-N367</f>
        <v>0</v>
      </c>
      <c r="Q367" s="23" t="s">
        <v>100</v>
      </c>
      <c r="R367" s="24">
        <f>P367*(J367-(J367*L367)-((J367-(J367*L367))*M367))</f>
        <v>0</v>
      </c>
      <c r="S367" s="24">
        <f t="shared" ref="S367:S447" si="104">R367/1.11</f>
        <v>0</v>
      </c>
    </row>
    <row r="368" spans="1:19" s="19" customFormat="1">
      <c r="A368" s="18"/>
      <c r="C368" s="20"/>
      <c r="D368" s="21"/>
      <c r="E368" s="26"/>
      <c r="F368" s="22"/>
      <c r="G368" s="23"/>
      <c r="H368" s="22"/>
      <c r="I368" s="23"/>
      <c r="J368" s="24"/>
      <c r="K368" s="21"/>
      <c r="L368" s="25"/>
      <c r="M368" s="25"/>
      <c r="N368" s="22"/>
      <c r="O368" s="23"/>
      <c r="P368" s="20"/>
      <c r="Q368" s="23"/>
      <c r="R368" s="24"/>
      <c r="S368" s="24"/>
    </row>
    <row r="369" spans="1:19" s="19" customFormat="1" ht="15.75">
      <c r="A369" s="44" t="s">
        <v>267</v>
      </c>
      <c r="C369" s="20"/>
      <c r="D369" s="21"/>
      <c r="E369" s="26"/>
      <c r="F369" s="22"/>
      <c r="G369" s="23"/>
      <c r="H369" s="22"/>
      <c r="I369" s="23"/>
      <c r="J369" s="24"/>
      <c r="K369" s="21"/>
      <c r="L369" s="25"/>
      <c r="M369" s="25"/>
      <c r="N369" s="22"/>
      <c r="O369" s="23"/>
      <c r="P369" s="20"/>
      <c r="Q369" s="23"/>
      <c r="R369" s="24"/>
      <c r="S369" s="24"/>
    </row>
    <row r="370" spans="1:19" s="19" customFormat="1">
      <c r="A370" s="18" t="s">
        <v>268</v>
      </c>
      <c r="B370" s="19" t="s">
        <v>18</v>
      </c>
      <c r="C370" s="20"/>
      <c r="D370" s="21" t="s">
        <v>104</v>
      </c>
      <c r="E370" s="26"/>
      <c r="F370" s="22">
        <v>8</v>
      </c>
      <c r="G370" s="23" t="s">
        <v>33</v>
      </c>
      <c r="H370" s="22">
        <v>25</v>
      </c>
      <c r="I370" s="23" t="s">
        <v>104</v>
      </c>
      <c r="J370" s="24">
        <v>4000</v>
      </c>
      <c r="K370" s="21" t="s">
        <v>104</v>
      </c>
      <c r="L370" s="25">
        <v>0.125</v>
      </c>
      <c r="M370" s="25">
        <v>0.05</v>
      </c>
      <c r="N370" s="22"/>
      <c r="O370" s="23" t="s">
        <v>104</v>
      </c>
      <c r="P370" s="20">
        <f>(C370+(E370*F370*H370))-N370</f>
        <v>0</v>
      </c>
      <c r="Q370" s="23" t="s">
        <v>104</v>
      </c>
      <c r="R370" s="24">
        <f>P370*(J370-(J370*L370)-((J370-(J370*L370))*M370))</f>
        <v>0</v>
      </c>
      <c r="S370" s="24">
        <f t="shared" si="104"/>
        <v>0</v>
      </c>
    </row>
    <row r="371" spans="1:19" s="19" customFormat="1">
      <c r="A371" s="18" t="s">
        <v>269</v>
      </c>
      <c r="B371" s="19" t="s">
        <v>18</v>
      </c>
      <c r="C371" s="20"/>
      <c r="D371" s="21" t="s">
        <v>78</v>
      </c>
      <c r="E371" s="26"/>
      <c r="F371" s="22">
        <v>1</v>
      </c>
      <c r="G371" s="23" t="s">
        <v>20</v>
      </c>
      <c r="H371" s="22">
        <v>48</v>
      </c>
      <c r="I371" s="23" t="s">
        <v>78</v>
      </c>
      <c r="J371" s="24">
        <v>30000</v>
      </c>
      <c r="K371" s="21" t="s">
        <v>78</v>
      </c>
      <c r="L371" s="25">
        <v>0.125</v>
      </c>
      <c r="M371" s="25">
        <v>0.05</v>
      </c>
      <c r="N371" s="22"/>
      <c r="O371" s="23" t="s">
        <v>78</v>
      </c>
      <c r="P371" s="20">
        <f>(C371+(E371*F371*H371))-N371</f>
        <v>0</v>
      </c>
      <c r="Q371" s="23" t="s">
        <v>78</v>
      </c>
      <c r="R371" s="24">
        <f>P371*(J371-(J371*L371)-((J371-(J371*L371))*M371))</f>
        <v>0</v>
      </c>
      <c r="S371" s="24">
        <f t="shared" si="104"/>
        <v>0</v>
      </c>
    </row>
    <row r="372" spans="1:19" s="19" customFormat="1">
      <c r="A372" s="18" t="s">
        <v>270</v>
      </c>
      <c r="B372" s="19" t="s">
        <v>18</v>
      </c>
      <c r="C372" s="20"/>
      <c r="D372" s="21" t="s">
        <v>78</v>
      </c>
      <c r="E372" s="26">
        <v>1</v>
      </c>
      <c r="F372" s="22">
        <v>1</v>
      </c>
      <c r="G372" s="23" t="s">
        <v>20</v>
      </c>
      <c r="H372" s="22">
        <v>48</v>
      </c>
      <c r="I372" s="23" t="s">
        <v>78</v>
      </c>
      <c r="J372" s="24">
        <v>23000</v>
      </c>
      <c r="K372" s="21" t="s">
        <v>78</v>
      </c>
      <c r="L372" s="25">
        <v>0.125</v>
      </c>
      <c r="M372" s="25">
        <v>0.05</v>
      </c>
      <c r="N372" s="22"/>
      <c r="O372" s="23" t="s">
        <v>78</v>
      </c>
      <c r="P372" s="20">
        <f>(C372+(E372*F372*H372))-N372</f>
        <v>48</v>
      </c>
      <c r="Q372" s="23" t="s">
        <v>78</v>
      </c>
      <c r="R372" s="24">
        <f>P372*(J372-(J372*L372)-((J372-(J372*L372))*M372))</f>
        <v>917700</v>
      </c>
      <c r="S372" s="24">
        <f t="shared" si="104"/>
        <v>826756.75675675669</v>
      </c>
    </row>
    <row r="373" spans="1:19" s="19" customFormat="1">
      <c r="A373" s="18"/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19" customFormat="1">
      <c r="A374" s="18" t="s">
        <v>271</v>
      </c>
      <c r="B374" s="19" t="s">
        <v>25</v>
      </c>
      <c r="C374" s="20"/>
      <c r="D374" s="21" t="s">
        <v>104</v>
      </c>
      <c r="E374" s="26"/>
      <c r="F374" s="22">
        <v>80</v>
      </c>
      <c r="G374" s="23" t="s">
        <v>33</v>
      </c>
      <c r="H374" s="22">
        <v>25</v>
      </c>
      <c r="I374" s="23" t="s">
        <v>104</v>
      </c>
      <c r="J374" s="24">
        <v>4500</v>
      </c>
      <c r="K374" s="21" t="s">
        <v>104</v>
      </c>
      <c r="L374" s="25"/>
      <c r="M374" s="25">
        <v>0.17</v>
      </c>
      <c r="N374" s="22"/>
      <c r="O374" s="23" t="s">
        <v>104</v>
      </c>
      <c r="P374" s="20">
        <f>(C374+(E374*F374*H374))-N374</f>
        <v>0</v>
      </c>
      <c r="Q374" s="23" t="s">
        <v>104</v>
      </c>
      <c r="R374" s="24">
        <f>P374*(J374-(J374*L374)-((J374-(J374*L374))*M374))</f>
        <v>0</v>
      </c>
      <c r="S374" s="24">
        <f t="shared" si="104"/>
        <v>0</v>
      </c>
    </row>
    <row r="375" spans="1:19" s="19" customFormat="1">
      <c r="A375" s="18" t="s">
        <v>272</v>
      </c>
      <c r="B375" s="19" t="s">
        <v>25</v>
      </c>
      <c r="C375" s="20"/>
      <c r="D375" s="21" t="s">
        <v>78</v>
      </c>
      <c r="E375" s="26"/>
      <c r="F375" s="22">
        <v>1</v>
      </c>
      <c r="G375" s="23" t="s">
        <v>20</v>
      </c>
      <c r="H375" s="22">
        <v>48</v>
      </c>
      <c r="I375" s="23" t="s">
        <v>78</v>
      </c>
      <c r="J375" s="24">
        <v>23500</v>
      </c>
      <c r="K375" s="21" t="s">
        <v>78</v>
      </c>
      <c r="L375" s="25"/>
      <c r="M375" s="25">
        <v>0.17</v>
      </c>
      <c r="N375" s="22"/>
      <c r="O375" s="23" t="s">
        <v>78</v>
      </c>
      <c r="P375" s="20">
        <f>(C375+(E375*F375*H375))-N375</f>
        <v>0</v>
      </c>
      <c r="Q375" s="23" t="s">
        <v>78</v>
      </c>
      <c r="R375" s="24">
        <f>P375*(J375-(J375*L375)-((J375-(J375*L375))*M375))</f>
        <v>0</v>
      </c>
      <c r="S375" s="24">
        <f t="shared" si="104"/>
        <v>0</v>
      </c>
    </row>
    <row r="376" spans="1:19" s="19" customFormat="1">
      <c r="A376" s="18"/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 ht="15.75">
      <c r="A377" s="44" t="s">
        <v>273</v>
      </c>
      <c r="C377" s="20"/>
      <c r="D377" s="21"/>
      <c r="E377" s="26"/>
      <c r="F377" s="22"/>
      <c r="G377" s="23"/>
      <c r="H377" s="22"/>
      <c r="I377" s="23"/>
      <c r="J377" s="24"/>
      <c r="K377" s="21"/>
      <c r="L377" s="25"/>
      <c r="M377" s="25"/>
      <c r="N377" s="22"/>
      <c r="O377" s="23"/>
      <c r="P377" s="20"/>
      <c r="Q377" s="23"/>
      <c r="R377" s="24"/>
      <c r="S377" s="24"/>
    </row>
    <row r="378" spans="1:19" s="19" customFormat="1">
      <c r="A378" s="18" t="s">
        <v>274</v>
      </c>
      <c r="B378" s="19" t="s">
        <v>18</v>
      </c>
      <c r="C378" s="20"/>
      <c r="D378" s="21" t="s">
        <v>157</v>
      </c>
      <c r="E378" s="26"/>
      <c r="F378" s="22">
        <v>10</v>
      </c>
      <c r="G378" s="23" t="s">
        <v>33</v>
      </c>
      <c r="H378" s="22">
        <v>24</v>
      </c>
      <c r="I378" s="23" t="s">
        <v>157</v>
      </c>
      <c r="J378" s="24">
        <v>8800</v>
      </c>
      <c r="K378" s="21" t="s">
        <v>157</v>
      </c>
      <c r="L378" s="25">
        <v>0.125</v>
      </c>
      <c r="M378" s="25">
        <v>0.05</v>
      </c>
      <c r="N378" s="22"/>
      <c r="O378" s="23" t="s">
        <v>157</v>
      </c>
      <c r="P378" s="20">
        <f t="shared" ref="P378:P384" si="105">(C378+(E378*F378*H378))-N378</f>
        <v>0</v>
      </c>
      <c r="Q378" s="23" t="s">
        <v>157</v>
      </c>
      <c r="R378" s="24">
        <f t="shared" ref="R378:R384" si="106">P378*(J378-(J378*L378)-((J378-(J378*L378))*M378))</f>
        <v>0</v>
      </c>
      <c r="S378" s="24">
        <f t="shared" si="104"/>
        <v>0</v>
      </c>
    </row>
    <row r="379" spans="1:19" s="19" customFormat="1">
      <c r="A379" s="18" t="s">
        <v>275</v>
      </c>
      <c r="B379" s="19" t="s">
        <v>18</v>
      </c>
      <c r="C379" s="20"/>
      <c r="D379" s="21" t="s">
        <v>157</v>
      </c>
      <c r="E379" s="26"/>
      <c r="F379" s="22">
        <v>6</v>
      </c>
      <c r="G379" s="23" t="s">
        <v>33</v>
      </c>
      <c r="H379" s="22">
        <v>24</v>
      </c>
      <c r="I379" s="23" t="s">
        <v>157</v>
      </c>
      <c r="J379" s="24">
        <v>29500</v>
      </c>
      <c r="K379" s="21" t="s">
        <v>157</v>
      </c>
      <c r="L379" s="25">
        <v>0.125</v>
      </c>
      <c r="M379" s="25">
        <v>0.05</v>
      </c>
      <c r="N379" s="22"/>
      <c r="O379" s="23" t="s">
        <v>157</v>
      </c>
      <c r="P379" s="20">
        <f t="shared" si="105"/>
        <v>0</v>
      </c>
      <c r="Q379" s="23" t="s">
        <v>157</v>
      </c>
      <c r="R379" s="24">
        <f t="shared" si="106"/>
        <v>0</v>
      </c>
      <c r="S379" s="24">
        <f t="shared" si="104"/>
        <v>0</v>
      </c>
    </row>
    <row r="380" spans="1:19" s="19" customFormat="1">
      <c r="A380" s="18" t="s">
        <v>276</v>
      </c>
      <c r="B380" s="19" t="s">
        <v>18</v>
      </c>
      <c r="C380" s="20"/>
      <c r="D380" s="21" t="s">
        <v>157</v>
      </c>
      <c r="E380" s="26"/>
      <c r="F380" s="22">
        <v>12</v>
      </c>
      <c r="G380" s="23" t="s">
        <v>33</v>
      </c>
      <c r="H380" s="22">
        <v>12</v>
      </c>
      <c r="I380" s="23" t="s">
        <v>157</v>
      </c>
      <c r="J380" s="24">
        <v>19600</v>
      </c>
      <c r="K380" s="21" t="s">
        <v>157</v>
      </c>
      <c r="L380" s="25">
        <v>0.125</v>
      </c>
      <c r="M380" s="25">
        <v>0.05</v>
      </c>
      <c r="N380" s="22"/>
      <c r="O380" s="23" t="s">
        <v>157</v>
      </c>
      <c r="P380" s="20">
        <f t="shared" si="105"/>
        <v>0</v>
      </c>
      <c r="Q380" s="23" t="s">
        <v>157</v>
      </c>
      <c r="R380" s="24">
        <f t="shared" si="106"/>
        <v>0</v>
      </c>
      <c r="S380" s="24">
        <f t="shared" si="104"/>
        <v>0</v>
      </c>
    </row>
    <row r="381" spans="1:19" s="19" customFormat="1">
      <c r="A381" s="18" t="s">
        <v>277</v>
      </c>
      <c r="B381" s="19" t="s">
        <v>18</v>
      </c>
      <c r="C381" s="20"/>
      <c r="D381" s="21" t="s">
        <v>157</v>
      </c>
      <c r="E381" s="26"/>
      <c r="F381" s="22">
        <v>12</v>
      </c>
      <c r="G381" s="23" t="s">
        <v>33</v>
      </c>
      <c r="H381" s="22">
        <v>12</v>
      </c>
      <c r="I381" s="23" t="s">
        <v>157</v>
      </c>
      <c r="J381" s="24">
        <v>18500</v>
      </c>
      <c r="K381" s="21" t="s">
        <v>157</v>
      </c>
      <c r="L381" s="25">
        <v>0.125</v>
      </c>
      <c r="M381" s="25">
        <v>0.05</v>
      </c>
      <c r="N381" s="22"/>
      <c r="O381" s="23" t="s">
        <v>157</v>
      </c>
      <c r="P381" s="20">
        <f t="shared" si="105"/>
        <v>0</v>
      </c>
      <c r="Q381" s="23" t="s">
        <v>157</v>
      </c>
      <c r="R381" s="24">
        <f t="shared" si="106"/>
        <v>0</v>
      </c>
      <c r="S381" s="24">
        <f t="shared" si="104"/>
        <v>0</v>
      </c>
    </row>
    <row r="382" spans="1:19" s="19" customFormat="1">
      <c r="A382" s="18" t="s">
        <v>278</v>
      </c>
      <c r="B382" s="19" t="s">
        <v>18</v>
      </c>
      <c r="C382" s="20"/>
      <c r="D382" s="21" t="s">
        <v>157</v>
      </c>
      <c r="E382" s="26"/>
      <c r="F382" s="22">
        <v>10</v>
      </c>
      <c r="G382" s="23" t="s">
        <v>33</v>
      </c>
      <c r="H382" s="22">
        <v>24</v>
      </c>
      <c r="I382" s="23" t="s">
        <v>157</v>
      </c>
      <c r="J382" s="24">
        <v>10600</v>
      </c>
      <c r="K382" s="21" t="s">
        <v>157</v>
      </c>
      <c r="L382" s="25">
        <v>0.125</v>
      </c>
      <c r="M382" s="25">
        <v>0.05</v>
      </c>
      <c r="N382" s="22"/>
      <c r="O382" s="23" t="s">
        <v>157</v>
      </c>
      <c r="P382" s="20">
        <f t="shared" si="105"/>
        <v>0</v>
      </c>
      <c r="Q382" s="23" t="s">
        <v>157</v>
      </c>
      <c r="R382" s="24">
        <f t="shared" si="106"/>
        <v>0</v>
      </c>
      <c r="S382" s="24">
        <f t="shared" si="104"/>
        <v>0</v>
      </c>
    </row>
    <row r="383" spans="1:19" s="19" customFormat="1">
      <c r="A383" s="18" t="s">
        <v>279</v>
      </c>
      <c r="B383" s="19" t="s">
        <v>18</v>
      </c>
      <c r="C383" s="20"/>
      <c r="D383" s="21" t="s">
        <v>157</v>
      </c>
      <c r="E383" s="26"/>
      <c r="F383" s="22">
        <v>20</v>
      </c>
      <c r="G383" s="23" t="s">
        <v>33</v>
      </c>
      <c r="H383" s="22">
        <v>12</v>
      </c>
      <c r="I383" s="23" t="s">
        <v>157</v>
      </c>
      <c r="J383" s="24">
        <v>4000</v>
      </c>
      <c r="K383" s="21" t="s">
        <v>157</v>
      </c>
      <c r="L383" s="25">
        <v>0.4</v>
      </c>
      <c r="M383" s="25">
        <v>0.05</v>
      </c>
      <c r="N383" s="22"/>
      <c r="O383" s="23" t="s">
        <v>157</v>
      </c>
      <c r="P383" s="20">
        <f t="shared" si="105"/>
        <v>0</v>
      </c>
      <c r="Q383" s="23" t="s">
        <v>157</v>
      </c>
      <c r="R383" s="24">
        <f t="shared" si="106"/>
        <v>0</v>
      </c>
      <c r="S383" s="24">
        <f t="shared" si="104"/>
        <v>0</v>
      </c>
    </row>
    <row r="384" spans="1:19" s="19" customFormat="1">
      <c r="A384" s="18" t="s">
        <v>766</v>
      </c>
      <c r="B384" s="19" t="s">
        <v>18</v>
      </c>
      <c r="C384" s="20"/>
      <c r="D384" s="21" t="s">
        <v>157</v>
      </c>
      <c r="E384" s="26"/>
      <c r="F384" s="22">
        <v>12</v>
      </c>
      <c r="G384" s="23" t="s">
        <v>33</v>
      </c>
      <c r="H384" s="22">
        <v>12</v>
      </c>
      <c r="I384" s="23" t="s">
        <v>157</v>
      </c>
      <c r="J384" s="24">
        <v>34500</v>
      </c>
      <c r="K384" s="21" t="s">
        <v>157</v>
      </c>
      <c r="L384" s="25">
        <v>0.125</v>
      </c>
      <c r="M384" s="25">
        <v>0.05</v>
      </c>
      <c r="N384" s="22"/>
      <c r="O384" s="23" t="s">
        <v>157</v>
      </c>
      <c r="P384" s="20">
        <f t="shared" si="105"/>
        <v>0</v>
      </c>
      <c r="Q384" s="23" t="s">
        <v>157</v>
      </c>
      <c r="R384" s="24">
        <f t="shared" si="106"/>
        <v>0</v>
      </c>
      <c r="S384" s="24">
        <f t="shared" si="104"/>
        <v>0</v>
      </c>
    </row>
    <row r="385" spans="1:19" s="19" customFormat="1">
      <c r="A385" s="18"/>
      <c r="C385" s="20"/>
      <c r="D385" s="21"/>
      <c r="E385" s="26"/>
      <c r="F385" s="22"/>
      <c r="G385" s="23"/>
      <c r="H385" s="22"/>
      <c r="I385" s="23"/>
      <c r="J385" s="24"/>
      <c r="K385" s="21"/>
      <c r="L385" s="25"/>
      <c r="M385" s="25"/>
      <c r="N385" s="22"/>
      <c r="O385" s="23"/>
      <c r="P385" s="20"/>
      <c r="Q385" s="23"/>
      <c r="R385" s="24"/>
      <c r="S385" s="24"/>
    </row>
    <row r="386" spans="1:19" s="19" customFormat="1" ht="15.75">
      <c r="A386" s="44" t="s">
        <v>280</v>
      </c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>
      <c r="A387" s="88" t="s">
        <v>281</v>
      </c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>
      <c r="A388" s="18" t="s">
        <v>282</v>
      </c>
      <c r="B388" s="19" t="s">
        <v>18</v>
      </c>
      <c r="C388" s="20"/>
      <c r="D388" s="21" t="s">
        <v>283</v>
      </c>
      <c r="E388" s="26">
        <v>7</v>
      </c>
      <c r="F388" s="22">
        <v>100</v>
      </c>
      <c r="G388" s="23" t="s">
        <v>100</v>
      </c>
      <c r="H388" s="22">
        <v>10</v>
      </c>
      <c r="I388" s="23" t="s">
        <v>283</v>
      </c>
      <c r="J388" s="24">
        <v>2050</v>
      </c>
      <c r="K388" s="21" t="s">
        <v>283</v>
      </c>
      <c r="L388" s="25">
        <v>0.125</v>
      </c>
      <c r="M388" s="25">
        <v>0.05</v>
      </c>
      <c r="N388" s="22"/>
      <c r="O388" s="23" t="s">
        <v>283</v>
      </c>
      <c r="P388" s="20">
        <f t="shared" ref="P388:P396" si="107">(C388+(E388*F388*H388))-N388</f>
        <v>7000</v>
      </c>
      <c r="Q388" s="23" t="s">
        <v>283</v>
      </c>
      <c r="R388" s="24">
        <f t="shared" ref="R388:R396" si="108">P388*(J388-(J388*L388)-((J388-(J388*L388))*M388))</f>
        <v>11928437.5</v>
      </c>
      <c r="S388" s="24">
        <f t="shared" si="104"/>
        <v>10746340.090090089</v>
      </c>
    </row>
    <row r="389" spans="1:19" s="19" customFormat="1">
      <c r="A389" s="18" t="s">
        <v>284</v>
      </c>
      <c r="B389" s="19" t="s">
        <v>18</v>
      </c>
      <c r="C389" s="20"/>
      <c r="D389" s="21" t="s">
        <v>283</v>
      </c>
      <c r="E389" s="26"/>
      <c r="F389" s="22">
        <v>100</v>
      </c>
      <c r="G389" s="23" t="s">
        <v>100</v>
      </c>
      <c r="H389" s="22">
        <v>10</v>
      </c>
      <c r="I389" s="23" t="s">
        <v>283</v>
      </c>
      <c r="J389" s="24">
        <v>3000</v>
      </c>
      <c r="K389" s="21" t="s">
        <v>283</v>
      </c>
      <c r="L389" s="25">
        <v>0.125</v>
      </c>
      <c r="M389" s="25">
        <v>0.05</v>
      </c>
      <c r="N389" s="22"/>
      <c r="O389" s="23" t="s">
        <v>283</v>
      </c>
      <c r="P389" s="20">
        <f t="shared" si="107"/>
        <v>0</v>
      </c>
      <c r="Q389" s="23" t="s">
        <v>283</v>
      </c>
      <c r="R389" s="24">
        <f t="shared" si="108"/>
        <v>0</v>
      </c>
      <c r="S389" s="24">
        <f t="shared" si="104"/>
        <v>0</v>
      </c>
    </row>
    <row r="390" spans="1:19" s="19" customFormat="1">
      <c r="A390" s="18" t="s">
        <v>285</v>
      </c>
      <c r="B390" s="19" t="s">
        <v>18</v>
      </c>
      <c r="C390" s="20"/>
      <c r="D390" s="21" t="s">
        <v>283</v>
      </c>
      <c r="E390" s="26">
        <v>3</v>
      </c>
      <c r="F390" s="22">
        <v>50</v>
      </c>
      <c r="G390" s="23" t="s">
        <v>100</v>
      </c>
      <c r="H390" s="22">
        <v>10</v>
      </c>
      <c r="I390" s="23" t="s">
        <v>283</v>
      </c>
      <c r="J390" s="24">
        <v>3050</v>
      </c>
      <c r="K390" s="21" t="s">
        <v>283</v>
      </c>
      <c r="L390" s="25">
        <v>0.125</v>
      </c>
      <c r="M390" s="25">
        <v>0.05</v>
      </c>
      <c r="N390" s="22"/>
      <c r="O390" s="23" t="s">
        <v>283</v>
      </c>
      <c r="P390" s="20">
        <f t="shared" si="107"/>
        <v>1500</v>
      </c>
      <c r="Q390" s="23" t="s">
        <v>283</v>
      </c>
      <c r="R390" s="24">
        <f t="shared" si="108"/>
        <v>3802968.75</v>
      </c>
      <c r="S390" s="24">
        <f t="shared" si="104"/>
        <v>3426097.9729729728</v>
      </c>
    </row>
    <row r="391" spans="1:19" s="19" customFormat="1">
      <c r="A391" s="18" t="s">
        <v>286</v>
      </c>
      <c r="B391" s="19" t="s">
        <v>18</v>
      </c>
      <c r="C391" s="20"/>
      <c r="D391" s="21" t="s">
        <v>283</v>
      </c>
      <c r="E391" s="26">
        <v>1</v>
      </c>
      <c r="F391" s="22">
        <v>50</v>
      </c>
      <c r="G391" s="23" t="s">
        <v>100</v>
      </c>
      <c r="H391" s="22">
        <v>10</v>
      </c>
      <c r="I391" s="23" t="s">
        <v>283</v>
      </c>
      <c r="J391" s="24">
        <v>4200</v>
      </c>
      <c r="K391" s="21" t="s">
        <v>283</v>
      </c>
      <c r="L391" s="25">
        <v>0.125</v>
      </c>
      <c r="M391" s="25">
        <v>0.05</v>
      </c>
      <c r="N391" s="22"/>
      <c r="O391" s="23" t="s">
        <v>283</v>
      </c>
      <c r="P391" s="20">
        <f t="shared" si="107"/>
        <v>500</v>
      </c>
      <c r="Q391" s="23" t="s">
        <v>283</v>
      </c>
      <c r="R391" s="24">
        <f t="shared" si="108"/>
        <v>1745625</v>
      </c>
      <c r="S391" s="24">
        <f t="shared" si="104"/>
        <v>1572635.1351351349</v>
      </c>
    </row>
    <row r="392" spans="1:19" s="19" customFormat="1">
      <c r="A392" s="68" t="s">
        <v>287</v>
      </c>
      <c r="B392" s="19" t="s">
        <v>18</v>
      </c>
      <c r="C392" s="20"/>
      <c r="D392" s="21" t="s">
        <v>283</v>
      </c>
      <c r="E392" s="26"/>
      <c r="F392" s="22">
        <v>50</v>
      </c>
      <c r="G392" s="23" t="s">
        <v>100</v>
      </c>
      <c r="H392" s="22">
        <v>10</v>
      </c>
      <c r="I392" s="23" t="s">
        <v>283</v>
      </c>
      <c r="J392" s="24">
        <v>4300</v>
      </c>
      <c r="K392" s="21" t="s">
        <v>283</v>
      </c>
      <c r="L392" s="25">
        <v>0.125</v>
      </c>
      <c r="M392" s="25">
        <v>0.05</v>
      </c>
      <c r="N392" s="22"/>
      <c r="O392" s="23" t="s">
        <v>283</v>
      </c>
      <c r="P392" s="20">
        <f t="shared" si="107"/>
        <v>0</v>
      </c>
      <c r="Q392" s="23" t="s">
        <v>283</v>
      </c>
      <c r="R392" s="24">
        <f t="shared" si="108"/>
        <v>0</v>
      </c>
      <c r="S392" s="24">
        <f t="shared" si="104"/>
        <v>0</v>
      </c>
    </row>
    <row r="393" spans="1:19" s="19" customFormat="1">
      <c r="A393" s="68" t="s">
        <v>288</v>
      </c>
      <c r="B393" s="19" t="s">
        <v>18</v>
      </c>
      <c r="C393" s="20"/>
      <c r="D393" s="21" t="s">
        <v>283</v>
      </c>
      <c r="E393" s="26"/>
      <c r="F393" s="22">
        <v>100</v>
      </c>
      <c r="G393" s="23" t="s">
        <v>100</v>
      </c>
      <c r="H393" s="22">
        <v>10</v>
      </c>
      <c r="I393" s="23" t="s">
        <v>283</v>
      </c>
      <c r="J393" s="24">
        <v>3000</v>
      </c>
      <c r="K393" s="21" t="s">
        <v>283</v>
      </c>
      <c r="L393" s="25">
        <v>0.125</v>
      </c>
      <c r="M393" s="25">
        <v>0.05</v>
      </c>
      <c r="N393" s="22"/>
      <c r="O393" s="23" t="s">
        <v>283</v>
      </c>
      <c r="P393" s="20">
        <f t="shared" si="107"/>
        <v>0</v>
      </c>
      <c r="Q393" s="23" t="s">
        <v>283</v>
      </c>
      <c r="R393" s="24">
        <f t="shared" si="108"/>
        <v>0</v>
      </c>
      <c r="S393" s="24">
        <f t="shared" si="104"/>
        <v>0</v>
      </c>
    </row>
    <row r="394" spans="1:19" s="19" customFormat="1">
      <c r="A394" s="68" t="s">
        <v>289</v>
      </c>
      <c r="B394" s="19" t="s">
        <v>18</v>
      </c>
      <c r="C394" s="20"/>
      <c r="D394" s="21" t="s">
        <v>283</v>
      </c>
      <c r="E394" s="26"/>
      <c r="F394" s="22">
        <v>100</v>
      </c>
      <c r="G394" s="23" t="s">
        <v>100</v>
      </c>
      <c r="H394" s="22">
        <v>10</v>
      </c>
      <c r="I394" s="23" t="s">
        <v>283</v>
      </c>
      <c r="J394" s="24">
        <v>3000</v>
      </c>
      <c r="K394" s="21" t="s">
        <v>283</v>
      </c>
      <c r="L394" s="25">
        <v>0.125</v>
      </c>
      <c r="M394" s="25">
        <v>0.05</v>
      </c>
      <c r="N394" s="22"/>
      <c r="O394" s="23" t="s">
        <v>283</v>
      </c>
      <c r="P394" s="20">
        <f t="shared" si="107"/>
        <v>0</v>
      </c>
      <c r="Q394" s="23" t="s">
        <v>283</v>
      </c>
      <c r="R394" s="24">
        <f t="shared" si="108"/>
        <v>0</v>
      </c>
      <c r="S394" s="24">
        <f t="shared" si="104"/>
        <v>0</v>
      </c>
    </row>
    <row r="395" spans="1:19" s="19" customFormat="1">
      <c r="A395" s="68" t="s">
        <v>290</v>
      </c>
      <c r="B395" s="19" t="s">
        <v>18</v>
      </c>
      <c r="C395" s="20"/>
      <c r="D395" s="21" t="s">
        <v>283</v>
      </c>
      <c r="E395" s="26"/>
      <c r="F395" s="22">
        <v>50</v>
      </c>
      <c r="G395" s="23" t="s">
        <v>100</v>
      </c>
      <c r="H395" s="22">
        <v>10</v>
      </c>
      <c r="I395" s="23" t="s">
        <v>283</v>
      </c>
      <c r="J395" s="24">
        <v>4300</v>
      </c>
      <c r="K395" s="21" t="s">
        <v>283</v>
      </c>
      <c r="L395" s="25">
        <v>0.125</v>
      </c>
      <c r="M395" s="25">
        <v>0.05</v>
      </c>
      <c r="N395" s="22"/>
      <c r="O395" s="23" t="s">
        <v>283</v>
      </c>
      <c r="P395" s="20">
        <f t="shared" si="107"/>
        <v>0</v>
      </c>
      <c r="Q395" s="23" t="s">
        <v>283</v>
      </c>
      <c r="R395" s="24">
        <f t="shared" si="108"/>
        <v>0</v>
      </c>
      <c r="S395" s="24">
        <f t="shared" si="104"/>
        <v>0</v>
      </c>
    </row>
    <row r="396" spans="1:19" s="19" customFormat="1">
      <c r="A396" s="68" t="s">
        <v>291</v>
      </c>
      <c r="B396" s="19" t="s">
        <v>18</v>
      </c>
      <c r="C396" s="20"/>
      <c r="D396" s="21" t="s">
        <v>100</v>
      </c>
      <c r="E396" s="26"/>
      <c r="F396" s="22">
        <v>1</v>
      </c>
      <c r="G396" s="23" t="s">
        <v>20</v>
      </c>
      <c r="H396" s="22">
        <v>50</v>
      </c>
      <c r="I396" s="23" t="s">
        <v>100</v>
      </c>
      <c r="J396" s="24">
        <v>15500</v>
      </c>
      <c r="K396" s="21" t="s">
        <v>100</v>
      </c>
      <c r="L396" s="25">
        <v>0.125</v>
      </c>
      <c r="M396" s="25">
        <v>0.05</v>
      </c>
      <c r="N396" s="22"/>
      <c r="O396" s="23" t="s">
        <v>100</v>
      </c>
      <c r="P396" s="20">
        <f t="shared" si="107"/>
        <v>0</v>
      </c>
      <c r="Q396" s="23" t="s">
        <v>100</v>
      </c>
      <c r="R396" s="24">
        <f t="shared" si="108"/>
        <v>0</v>
      </c>
      <c r="S396" s="24">
        <f t="shared" si="104"/>
        <v>0</v>
      </c>
    </row>
    <row r="397" spans="1:19" s="19" customFormat="1">
      <c r="A397" s="58"/>
      <c r="C397" s="20"/>
      <c r="D397" s="21"/>
      <c r="E397" s="26"/>
      <c r="F397" s="22"/>
      <c r="G397" s="23"/>
      <c r="H397" s="22"/>
      <c r="I397" s="23"/>
      <c r="J397" s="24"/>
      <c r="K397" s="21"/>
      <c r="L397" s="25"/>
      <c r="M397" s="25"/>
      <c r="N397" s="22"/>
      <c r="O397" s="23"/>
      <c r="P397" s="20"/>
      <c r="Q397" s="23"/>
      <c r="R397" s="24"/>
      <c r="S397" s="24"/>
    </row>
    <row r="398" spans="1:19" s="19" customFormat="1">
      <c r="A398" s="18" t="s">
        <v>292</v>
      </c>
      <c r="B398" s="19" t="s">
        <v>25</v>
      </c>
      <c r="C398" s="20"/>
      <c r="D398" s="21" t="s">
        <v>293</v>
      </c>
      <c r="E398" s="26"/>
      <c r="F398" s="22">
        <v>1</v>
      </c>
      <c r="G398" s="23" t="s">
        <v>20</v>
      </c>
      <c r="H398" s="22">
        <v>50</v>
      </c>
      <c r="I398" s="23" t="s">
        <v>293</v>
      </c>
      <c r="J398" s="24">
        <f>1050000/50</f>
        <v>21000</v>
      </c>
      <c r="K398" s="21" t="s">
        <v>293</v>
      </c>
      <c r="L398" s="25"/>
      <c r="M398" s="25">
        <v>0.17</v>
      </c>
      <c r="N398" s="22"/>
      <c r="O398" s="23" t="s">
        <v>293</v>
      </c>
      <c r="P398" s="20">
        <f>(C398+(E398*F398*H398))-N398</f>
        <v>0</v>
      </c>
      <c r="Q398" s="23" t="s">
        <v>293</v>
      </c>
      <c r="R398" s="24">
        <f>P398*(J398-(J398*L398)-((J398-(J398*L398))*M398))</f>
        <v>0</v>
      </c>
      <c r="S398" s="24">
        <f t="shared" si="104"/>
        <v>0</v>
      </c>
    </row>
    <row r="399" spans="1:19" s="19" customFormat="1">
      <c r="A399" s="18" t="s">
        <v>294</v>
      </c>
      <c r="B399" s="19" t="s">
        <v>25</v>
      </c>
      <c r="C399" s="20"/>
      <c r="D399" s="21" t="s">
        <v>293</v>
      </c>
      <c r="E399" s="26"/>
      <c r="F399" s="22">
        <v>1</v>
      </c>
      <c r="G399" s="23" t="s">
        <v>20</v>
      </c>
      <c r="H399" s="22">
        <v>50</v>
      </c>
      <c r="I399" s="23" t="s">
        <v>293</v>
      </c>
      <c r="J399" s="24">
        <f>1350000/50</f>
        <v>27000</v>
      </c>
      <c r="K399" s="21" t="s">
        <v>293</v>
      </c>
      <c r="L399" s="25"/>
      <c r="M399" s="25">
        <v>0.17</v>
      </c>
      <c r="N399" s="22"/>
      <c r="O399" s="23" t="s">
        <v>293</v>
      </c>
      <c r="P399" s="20">
        <f>(C399+(E399*F399*H399))-N399</f>
        <v>0</v>
      </c>
      <c r="Q399" s="23" t="s">
        <v>293</v>
      </c>
      <c r="R399" s="24">
        <f>P399*(J399-(J399*L399)-((J399-(J399*L399))*M399))</f>
        <v>0</v>
      </c>
      <c r="S399" s="24">
        <f t="shared" si="104"/>
        <v>0</v>
      </c>
    </row>
    <row r="400" spans="1:19" s="19" customFormat="1">
      <c r="A400" s="18"/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19" customFormat="1">
      <c r="A401" s="88" t="s">
        <v>295</v>
      </c>
      <c r="C401" s="20"/>
      <c r="D401" s="21"/>
      <c r="E401" s="26"/>
      <c r="F401" s="22"/>
      <c r="G401" s="23"/>
      <c r="H401" s="22"/>
      <c r="I401" s="23"/>
      <c r="J401" s="24"/>
      <c r="K401" s="21"/>
      <c r="L401" s="25"/>
      <c r="M401" s="25"/>
      <c r="N401" s="22"/>
      <c r="O401" s="23"/>
      <c r="P401" s="20"/>
      <c r="Q401" s="23"/>
      <c r="R401" s="24"/>
      <c r="S401" s="24"/>
    </row>
    <row r="402" spans="1:19" s="19" customFormat="1">
      <c r="A402" s="18" t="s">
        <v>296</v>
      </c>
      <c r="B402" s="19" t="s">
        <v>18</v>
      </c>
      <c r="C402" s="20"/>
      <c r="D402" s="21" t="s">
        <v>19</v>
      </c>
      <c r="E402" s="26">
        <v>3</v>
      </c>
      <c r="F402" s="22">
        <v>1</v>
      </c>
      <c r="G402" s="23" t="s">
        <v>20</v>
      </c>
      <c r="H402" s="22">
        <v>20</v>
      </c>
      <c r="I402" s="23" t="s">
        <v>19</v>
      </c>
      <c r="J402" s="24">
        <v>40500</v>
      </c>
      <c r="K402" s="21" t="s">
        <v>19</v>
      </c>
      <c r="L402" s="25">
        <v>0.125</v>
      </c>
      <c r="M402" s="25">
        <v>0.05</v>
      </c>
      <c r="N402" s="22"/>
      <c r="O402" s="23" t="s">
        <v>19</v>
      </c>
      <c r="P402" s="20">
        <f>(C402+(E402*F402*H402))-N402</f>
        <v>60</v>
      </c>
      <c r="Q402" s="23" t="s">
        <v>19</v>
      </c>
      <c r="R402" s="24">
        <f>P402*(J402-(J402*L402)-((J402-(J402*L402))*M402))</f>
        <v>2019937.5</v>
      </c>
      <c r="S402" s="24">
        <f t="shared" si="104"/>
        <v>1819763.5135135134</v>
      </c>
    </row>
    <row r="403" spans="1:19" s="19" customFormat="1">
      <c r="A403" s="18"/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>
      <c r="A404" s="18" t="s">
        <v>297</v>
      </c>
      <c r="B404" s="19" t="s">
        <v>25</v>
      </c>
      <c r="C404" s="20"/>
      <c r="D404" s="21" t="s">
        <v>19</v>
      </c>
      <c r="E404" s="26"/>
      <c r="F404" s="22">
        <v>1</v>
      </c>
      <c r="G404" s="23" t="s">
        <v>20</v>
      </c>
      <c r="H404" s="22">
        <v>50</v>
      </c>
      <c r="I404" s="23" t="s">
        <v>19</v>
      </c>
      <c r="J404" s="24">
        <f>2250000/50</f>
        <v>45000</v>
      </c>
      <c r="K404" s="21" t="s">
        <v>19</v>
      </c>
      <c r="L404" s="25"/>
      <c r="M404" s="25">
        <v>0.17</v>
      </c>
      <c r="N404" s="22"/>
      <c r="O404" s="23" t="s">
        <v>19</v>
      </c>
      <c r="P404" s="20">
        <f>(C404+(E404*F404*H404))-N404</f>
        <v>0</v>
      </c>
      <c r="Q404" s="23" t="s">
        <v>19</v>
      </c>
      <c r="R404" s="24">
        <f>P404*(J404-(J404*L404)-((J404-(J404*L404))*M404))</f>
        <v>0</v>
      </c>
      <c r="S404" s="24">
        <f t="shared" si="104"/>
        <v>0</v>
      </c>
    </row>
    <row r="405" spans="1:19" s="19" customFormat="1">
      <c r="A405" s="18" t="s">
        <v>298</v>
      </c>
      <c r="B405" s="19" t="s">
        <v>25</v>
      </c>
      <c r="C405" s="20"/>
      <c r="D405" s="21" t="s">
        <v>19</v>
      </c>
      <c r="E405" s="26">
        <v>1</v>
      </c>
      <c r="F405" s="22">
        <v>1</v>
      </c>
      <c r="G405" s="23" t="s">
        <v>20</v>
      </c>
      <c r="H405" s="22">
        <v>50</v>
      </c>
      <c r="I405" s="23" t="s">
        <v>19</v>
      </c>
      <c r="J405" s="24">
        <f>2750000/50</f>
        <v>55000</v>
      </c>
      <c r="K405" s="21" t="s">
        <v>19</v>
      </c>
      <c r="L405" s="25"/>
      <c r="M405" s="25">
        <v>0.17</v>
      </c>
      <c r="N405" s="22"/>
      <c r="O405" s="23" t="s">
        <v>19</v>
      </c>
      <c r="P405" s="20">
        <f>(C405+(E405*F405*H405))-N405</f>
        <v>50</v>
      </c>
      <c r="Q405" s="23" t="s">
        <v>19</v>
      </c>
      <c r="R405" s="24">
        <f>P405*(J405-(J405*L405)-((J405-(J405*L405))*M405))</f>
        <v>2282500</v>
      </c>
      <c r="S405" s="24">
        <f t="shared" si="104"/>
        <v>2056306.306306306</v>
      </c>
    </row>
    <row r="406" spans="1:19" s="19" customFormat="1">
      <c r="A406" s="59" t="s">
        <v>299</v>
      </c>
      <c r="B406" s="19" t="s">
        <v>25</v>
      </c>
      <c r="C406" s="20"/>
      <c r="D406" s="21" t="s">
        <v>19</v>
      </c>
      <c r="E406" s="26"/>
      <c r="F406" s="22">
        <v>1</v>
      </c>
      <c r="G406" s="23" t="s">
        <v>20</v>
      </c>
      <c r="H406" s="22">
        <v>50</v>
      </c>
      <c r="I406" s="23" t="s">
        <v>19</v>
      </c>
      <c r="J406" s="24">
        <f>4750000/50</f>
        <v>95000</v>
      </c>
      <c r="K406" s="21" t="s">
        <v>19</v>
      </c>
      <c r="L406" s="25"/>
      <c r="M406" s="25">
        <v>0.17</v>
      </c>
      <c r="N406" s="22"/>
      <c r="O406" s="23" t="s">
        <v>19</v>
      </c>
      <c r="P406" s="20">
        <f>(C406+(E406*F406*H406))-N406</f>
        <v>0</v>
      </c>
      <c r="Q406" s="23" t="s">
        <v>19</v>
      </c>
      <c r="R406" s="24">
        <f>P406*(J406-(J406*L406)-((J406-(J406*L406))*M406))</f>
        <v>0</v>
      </c>
      <c r="S406" s="24">
        <f t="shared" si="104"/>
        <v>0</v>
      </c>
    </row>
    <row r="407" spans="1:19" s="19" customFormat="1">
      <c r="A407" s="18"/>
      <c r="C407" s="20"/>
      <c r="D407" s="21"/>
      <c r="E407" s="26"/>
      <c r="F407" s="22"/>
      <c r="G407" s="23"/>
      <c r="H407" s="22"/>
      <c r="I407" s="23"/>
      <c r="J407" s="24"/>
      <c r="K407" s="21"/>
      <c r="L407" s="25"/>
      <c r="M407" s="25"/>
      <c r="N407" s="22"/>
      <c r="O407" s="23"/>
      <c r="P407" s="20"/>
      <c r="Q407" s="23"/>
      <c r="R407" s="24"/>
      <c r="S407" s="24"/>
    </row>
    <row r="408" spans="1:19" s="19" customFormat="1" ht="15.75">
      <c r="A408" s="44" t="s">
        <v>300</v>
      </c>
      <c r="C408" s="20"/>
      <c r="D408" s="21"/>
      <c r="E408" s="26"/>
      <c r="F408" s="22"/>
      <c r="G408" s="23"/>
      <c r="H408" s="22"/>
      <c r="I408" s="23"/>
      <c r="J408" s="24"/>
      <c r="K408" s="21"/>
      <c r="L408" s="25"/>
      <c r="M408" s="25"/>
      <c r="N408" s="22"/>
      <c r="O408" s="23"/>
      <c r="P408" s="20"/>
      <c r="Q408" s="23"/>
      <c r="R408" s="24"/>
      <c r="S408" s="24"/>
    </row>
    <row r="409" spans="1:19" s="19" customFormat="1">
      <c r="A409" s="18" t="s">
        <v>817</v>
      </c>
      <c r="B409" s="19" t="s">
        <v>18</v>
      </c>
      <c r="C409" s="20"/>
      <c r="D409" s="21" t="s">
        <v>100</v>
      </c>
      <c r="E409" s="26"/>
      <c r="F409" s="22">
        <v>1</v>
      </c>
      <c r="G409" s="23" t="s">
        <v>20</v>
      </c>
      <c r="H409" s="22">
        <v>10</v>
      </c>
      <c r="I409" s="23" t="s">
        <v>100</v>
      </c>
      <c r="J409" s="24">
        <v>85000</v>
      </c>
      <c r="K409" s="21" t="s">
        <v>100</v>
      </c>
      <c r="L409" s="25">
        <v>0.125</v>
      </c>
      <c r="M409" s="25">
        <v>0.05</v>
      </c>
      <c r="N409" s="22"/>
      <c r="O409" s="23" t="s">
        <v>100</v>
      </c>
      <c r="P409" s="20">
        <f>(C409+(E409*F409*H409))-N409</f>
        <v>0</v>
      </c>
      <c r="Q409" s="23" t="s">
        <v>100</v>
      </c>
      <c r="R409" s="24">
        <f>P409*(J409-(J409*L409)-((J409-(J409*L409))*M409))</f>
        <v>0</v>
      </c>
      <c r="S409" s="24">
        <f t="shared" ref="S409" si="109">R409/1.11</f>
        <v>0</v>
      </c>
    </row>
    <row r="410" spans="1:19" s="19" customFormat="1">
      <c r="A410" s="18" t="s">
        <v>301</v>
      </c>
      <c r="B410" s="19" t="s">
        <v>18</v>
      </c>
      <c r="C410" s="20"/>
      <c r="D410" s="21" t="s">
        <v>100</v>
      </c>
      <c r="E410" s="26"/>
      <c r="F410" s="22">
        <v>1</v>
      </c>
      <c r="G410" s="23" t="s">
        <v>20</v>
      </c>
      <c r="H410" s="22">
        <v>10</v>
      </c>
      <c r="I410" s="23" t="s">
        <v>100</v>
      </c>
      <c r="J410" s="24">
        <v>104000</v>
      </c>
      <c r="K410" s="21" t="s">
        <v>100</v>
      </c>
      <c r="L410" s="25">
        <v>0.125</v>
      </c>
      <c r="M410" s="25">
        <v>0.05</v>
      </c>
      <c r="N410" s="22"/>
      <c r="O410" s="23" t="s">
        <v>100</v>
      </c>
      <c r="P410" s="20">
        <f>(C410+(E410*F410*H410))-N410</f>
        <v>0</v>
      </c>
      <c r="Q410" s="23" t="s">
        <v>100</v>
      </c>
      <c r="R410" s="24">
        <f>P410*(J410-(J410*L410)-((J410-(J410*L410))*M410))</f>
        <v>0</v>
      </c>
      <c r="S410" s="24">
        <f t="shared" si="104"/>
        <v>0</v>
      </c>
    </row>
    <row r="411" spans="1:19" s="19" customFormat="1">
      <c r="A411" s="18"/>
      <c r="C411" s="20"/>
      <c r="D411" s="21"/>
      <c r="E411" s="26"/>
      <c r="F411" s="22"/>
      <c r="G411" s="23"/>
      <c r="H411" s="22"/>
      <c r="I411" s="23"/>
      <c r="J411" s="24"/>
      <c r="K411" s="21"/>
      <c r="L411" s="25"/>
      <c r="M411" s="25"/>
      <c r="N411" s="22"/>
      <c r="O411" s="23"/>
      <c r="P411" s="20"/>
      <c r="Q411" s="23"/>
      <c r="R411" s="24"/>
      <c r="S411" s="24"/>
    </row>
    <row r="412" spans="1:19" s="19" customFormat="1">
      <c r="A412" s="18" t="s">
        <v>302</v>
      </c>
      <c r="B412" s="19" t="s">
        <v>25</v>
      </c>
      <c r="C412" s="20"/>
      <c r="D412" s="21" t="s">
        <v>100</v>
      </c>
      <c r="E412" s="26"/>
      <c r="F412" s="22">
        <v>1</v>
      </c>
      <c r="G412" s="23" t="s">
        <v>20</v>
      </c>
      <c r="H412" s="22">
        <v>10</v>
      </c>
      <c r="I412" s="23" t="s">
        <v>100</v>
      </c>
      <c r="J412" s="24">
        <f>1150000/10</f>
        <v>115000</v>
      </c>
      <c r="K412" s="21" t="s">
        <v>100</v>
      </c>
      <c r="L412" s="25"/>
      <c r="M412" s="25">
        <v>0.17</v>
      </c>
      <c r="N412" s="22"/>
      <c r="O412" s="23" t="s">
        <v>100</v>
      </c>
      <c r="P412" s="20">
        <f>(C412+(E412*F412*H412))-N412</f>
        <v>0</v>
      </c>
      <c r="Q412" s="23" t="s">
        <v>100</v>
      </c>
      <c r="R412" s="24">
        <f>P412*(J412-(J412*L412)-((J412-(J412*L412))*M412))</f>
        <v>0</v>
      </c>
      <c r="S412" s="24">
        <f t="shared" si="104"/>
        <v>0</v>
      </c>
    </row>
    <row r="413" spans="1:19" s="19" customFormat="1">
      <c r="A413" s="18"/>
      <c r="C413" s="20"/>
      <c r="D413" s="21"/>
      <c r="E413" s="26"/>
      <c r="F413" s="22"/>
      <c r="G413" s="23"/>
      <c r="H413" s="22"/>
      <c r="I413" s="23"/>
      <c r="J413" s="24"/>
      <c r="K413" s="21"/>
      <c r="L413" s="25"/>
      <c r="M413" s="25"/>
      <c r="N413" s="22"/>
      <c r="O413" s="23"/>
      <c r="P413" s="20"/>
      <c r="Q413" s="23"/>
      <c r="R413" s="24"/>
      <c r="S413" s="24"/>
    </row>
    <row r="414" spans="1:19" s="19" customFormat="1" ht="15.75">
      <c r="A414" s="44" t="s">
        <v>303</v>
      </c>
      <c r="C414" s="20"/>
      <c r="D414" s="21"/>
      <c r="E414" s="26"/>
      <c r="F414" s="22"/>
      <c r="G414" s="23"/>
      <c r="H414" s="22"/>
      <c r="I414" s="23"/>
      <c r="J414" s="24"/>
      <c r="K414" s="21"/>
      <c r="L414" s="25"/>
      <c r="M414" s="25"/>
      <c r="N414" s="22"/>
      <c r="O414" s="23"/>
      <c r="P414" s="20"/>
      <c r="Q414" s="23"/>
      <c r="R414" s="24"/>
      <c r="S414" s="24"/>
    </row>
    <row r="415" spans="1:19" s="19" customFormat="1">
      <c r="A415" s="88" t="s">
        <v>304</v>
      </c>
      <c r="C415" s="20"/>
      <c r="D415" s="21"/>
      <c r="E415" s="26"/>
      <c r="F415" s="22"/>
      <c r="G415" s="23"/>
      <c r="H415" s="22"/>
      <c r="I415" s="23"/>
      <c r="J415" s="24"/>
      <c r="K415" s="21"/>
      <c r="L415" s="25"/>
      <c r="M415" s="25"/>
      <c r="N415" s="22"/>
      <c r="O415" s="23"/>
      <c r="P415" s="20"/>
      <c r="Q415" s="23"/>
      <c r="R415" s="24"/>
      <c r="S415" s="24"/>
    </row>
    <row r="416" spans="1:19" s="19" customFormat="1">
      <c r="A416" s="18" t="s">
        <v>305</v>
      </c>
      <c r="B416" s="19" t="s">
        <v>18</v>
      </c>
      <c r="C416" s="20"/>
      <c r="D416" s="21" t="s">
        <v>41</v>
      </c>
      <c r="E416" s="26"/>
      <c r="F416" s="22">
        <v>48</v>
      </c>
      <c r="G416" s="23" t="s">
        <v>33</v>
      </c>
      <c r="H416" s="22">
        <v>1</v>
      </c>
      <c r="I416" s="23" t="s">
        <v>41</v>
      </c>
      <c r="J416" s="24">
        <f>1625*12</f>
        <v>19500</v>
      </c>
      <c r="K416" s="21" t="s">
        <v>41</v>
      </c>
      <c r="L416" s="25">
        <v>0.125</v>
      </c>
      <c r="M416" s="25">
        <v>0.05</v>
      </c>
      <c r="N416" s="22"/>
      <c r="O416" s="23" t="s">
        <v>41</v>
      </c>
      <c r="P416" s="20">
        <f t="shared" ref="P416:P421" si="110">(C416+(E416*F416*H416))-N416</f>
        <v>0</v>
      </c>
      <c r="Q416" s="23" t="s">
        <v>41</v>
      </c>
      <c r="R416" s="24">
        <f t="shared" ref="R416:R421" si="111">P416*(J416-(J416*L416)-((J416-(J416*L416))*M416))</f>
        <v>0</v>
      </c>
      <c r="S416" s="24">
        <f t="shared" si="104"/>
        <v>0</v>
      </c>
    </row>
    <row r="417" spans="1:19" s="19" customFormat="1">
      <c r="A417" s="18" t="s">
        <v>752</v>
      </c>
      <c r="B417" s="19" t="s">
        <v>18</v>
      </c>
      <c r="C417" s="20"/>
      <c r="D417" s="21" t="s">
        <v>41</v>
      </c>
      <c r="E417" s="26"/>
      <c r="F417" s="22">
        <v>24</v>
      </c>
      <c r="G417" s="23" t="s">
        <v>33</v>
      </c>
      <c r="H417" s="22">
        <v>1</v>
      </c>
      <c r="I417" s="23" t="s">
        <v>41</v>
      </c>
      <c r="J417" s="24">
        <f>2500*12</f>
        <v>30000</v>
      </c>
      <c r="K417" s="21" t="s">
        <v>41</v>
      </c>
      <c r="L417" s="25">
        <v>0.125</v>
      </c>
      <c r="M417" s="25">
        <v>0.05</v>
      </c>
      <c r="N417" s="22"/>
      <c r="O417" s="23" t="s">
        <v>41</v>
      </c>
      <c r="P417" s="20">
        <f t="shared" si="110"/>
        <v>0</v>
      </c>
      <c r="Q417" s="23" t="s">
        <v>41</v>
      </c>
      <c r="R417" s="24">
        <f t="shared" si="111"/>
        <v>0</v>
      </c>
      <c r="S417" s="24">
        <f t="shared" si="104"/>
        <v>0</v>
      </c>
    </row>
    <row r="418" spans="1:19" s="19" customFormat="1">
      <c r="A418" s="58" t="s">
        <v>306</v>
      </c>
      <c r="B418" s="19" t="s">
        <v>18</v>
      </c>
      <c r="C418" s="20"/>
      <c r="D418" s="21" t="s">
        <v>41</v>
      </c>
      <c r="E418" s="26">
        <v>2</v>
      </c>
      <c r="F418" s="22">
        <v>48</v>
      </c>
      <c r="G418" s="23" t="s">
        <v>33</v>
      </c>
      <c r="H418" s="22">
        <v>1</v>
      </c>
      <c r="I418" s="23" t="s">
        <v>41</v>
      </c>
      <c r="J418" s="24">
        <f>1550*12</f>
        <v>18600</v>
      </c>
      <c r="K418" s="21" t="s">
        <v>41</v>
      </c>
      <c r="L418" s="25">
        <v>0.125</v>
      </c>
      <c r="M418" s="25">
        <v>0.05</v>
      </c>
      <c r="N418" s="22"/>
      <c r="O418" s="23" t="s">
        <v>41</v>
      </c>
      <c r="P418" s="20">
        <f t="shared" si="110"/>
        <v>96</v>
      </c>
      <c r="Q418" s="23" t="s">
        <v>41</v>
      </c>
      <c r="R418" s="24">
        <f t="shared" si="111"/>
        <v>1484280</v>
      </c>
      <c r="S418" s="24">
        <f t="shared" si="104"/>
        <v>1337189.1891891891</v>
      </c>
    </row>
    <row r="419" spans="1:19" s="19" customFormat="1">
      <c r="A419" s="58" t="s">
        <v>307</v>
      </c>
      <c r="B419" s="19" t="s">
        <v>18</v>
      </c>
      <c r="C419" s="20"/>
      <c r="D419" s="21" t="s">
        <v>41</v>
      </c>
      <c r="E419" s="26">
        <v>3</v>
      </c>
      <c r="F419" s="22">
        <v>24</v>
      </c>
      <c r="G419" s="23" t="s">
        <v>33</v>
      </c>
      <c r="H419" s="22">
        <v>1</v>
      </c>
      <c r="I419" s="23" t="s">
        <v>41</v>
      </c>
      <c r="J419" s="24">
        <f>2150*12</f>
        <v>25800</v>
      </c>
      <c r="K419" s="21" t="s">
        <v>41</v>
      </c>
      <c r="L419" s="25">
        <v>0.125</v>
      </c>
      <c r="M419" s="25">
        <v>0.05</v>
      </c>
      <c r="N419" s="22"/>
      <c r="O419" s="23" t="s">
        <v>41</v>
      </c>
      <c r="P419" s="20">
        <f t="shared" si="110"/>
        <v>72</v>
      </c>
      <c r="Q419" s="23" t="s">
        <v>41</v>
      </c>
      <c r="R419" s="24">
        <f t="shared" si="111"/>
        <v>1544130</v>
      </c>
      <c r="S419" s="24">
        <f t="shared" si="104"/>
        <v>1391108.1081081079</v>
      </c>
    </row>
    <row r="420" spans="1:19" s="19" customFormat="1">
      <c r="A420" s="58" t="s">
        <v>861</v>
      </c>
      <c r="B420" s="19" t="s">
        <v>18</v>
      </c>
      <c r="C420" s="20"/>
      <c r="D420" s="21" t="s">
        <v>41</v>
      </c>
      <c r="E420" s="26">
        <v>1</v>
      </c>
      <c r="F420" s="22">
        <v>24</v>
      </c>
      <c r="G420" s="23" t="s">
        <v>33</v>
      </c>
      <c r="H420" s="22">
        <v>1</v>
      </c>
      <c r="I420" s="23" t="s">
        <v>41</v>
      </c>
      <c r="J420" s="24">
        <v>31200</v>
      </c>
      <c r="K420" s="21" t="s">
        <v>41</v>
      </c>
      <c r="L420" s="25">
        <v>0.125</v>
      </c>
      <c r="M420" s="25">
        <v>0.05</v>
      </c>
      <c r="N420" s="22"/>
      <c r="O420" s="23" t="s">
        <v>41</v>
      </c>
      <c r="P420" s="20">
        <f t="shared" si="110"/>
        <v>24</v>
      </c>
      <c r="Q420" s="23" t="s">
        <v>41</v>
      </c>
      <c r="R420" s="24">
        <f t="shared" si="111"/>
        <v>622440</v>
      </c>
      <c r="S420" s="24">
        <f t="shared" ref="S420" si="112">R420/1.11</f>
        <v>560756.75675675669</v>
      </c>
    </row>
    <row r="421" spans="1:19" s="19" customFormat="1">
      <c r="A421" s="18" t="s">
        <v>308</v>
      </c>
      <c r="B421" s="19" t="s">
        <v>18</v>
      </c>
      <c r="C421" s="20"/>
      <c r="D421" s="21" t="s">
        <v>41</v>
      </c>
      <c r="E421" s="26"/>
      <c r="F421" s="22">
        <v>24</v>
      </c>
      <c r="G421" s="23" t="s">
        <v>33</v>
      </c>
      <c r="H421" s="22">
        <v>1</v>
      </c>
      <c r="I421" s="23" t="s">
        <v>41</v>
      </c>
      <c r="J421" s="24">
        <f>3000*12</f>
        <v>36000</v>
      </c>
      <c r="K421" s="21" t="s">
        <v>41</v>
      </c>
      <c r="L421" s="25">
        <v>0.125</v>
      </c>
      <c r="M421" s="25">
        <v>0.05</v>
      </c>
      <c r="N421" s="22"/>
      <c r="O421" s="23" t="s">
        <v>41</v>
      </c>
      <c r="P421" s="20">
        <f t="shared" si="110"/>
        <v>0</v>
      </c>
      <c r="Q421" s="23" t="s">
        <v>41</v>
      </c>
      <c r="R421" s="24">
        <f t="shared" si="111"/>
        <v>0</v>
      </c>
      <c r="S421" s="24">
        <f t="shared" si="104"/>
        <v>0</v>
      </c>
    </row>
    <row r="422" spans="1:19" s="19" customFormat="1">
      <c r="A422" s="18"/>
      <c r="C422" s="20"/>
      <c r="D422" s="21"/>
      <c r="E422" s="26"/>
      <c r="F422" s="22"/>
      <c r="G422" s="23"/>
      <c r="H422" s="22"/>
      <c r="I422" s="23"/>
      <c r="J422" s="24"/>
      <c r="K422" s="21"/>
      <c r="L422" s="25"/>
      <c r="M422" s="25"/>
      <c r="N422" s="22"/>
      <c r="O422" s="23"/>
      <c r="P422" s="20"/>
      <c r="Q422" s="23"/>
      <c r="R422" s="24"/>
      <c r="S422" s="24"/>
    </row>
    <row r="423" spans="1:19" s="19" customFormat="1">
      <c r="A423" s="18" t="s">
        <v>309</v>
      </c>
      <c r="B423" s="19" t="s">
        <v>25</v>
      </c>
      <c r="C423" s="20"/>
      <c r="D423" s="21" t="s">
        <v>41</v>
      </c>
      <c r="E423" s="26"/>
      <c r="F423" s="22">
        <v>1</v>
      </c>
      <c r="G423" s="23" t="s">
        <v>20</v>
      </c>
      <c r="H423" s="22">
        <v>20</v>
      </c>
      <c r="I423" s="23" t="s">
        <v>41</v>
      </c>
      <c r="J423" s="24">
        <f>396000/20</f>
        <v>19800</v>
      </c>
      <c r="K423" s="21" t="s">
        <v>41</v>
      </c>
      <c r="L423" s="25"/>
      <c r="M423" s="25">
        <v>0.17</v>
      </c>
      <c r="N423" s="22"/>
      <c r="O423" s="23" t="s">
        <v>41</v>
      </c>
      <c r="P423" s="20">
        <f>(C423+(E423*F423*H423))-N423</f>
        <v>0</v>
      </c>
      <c r="Q423" s="23" t="s">
        <v>41</v>
      </c>
      <c r="R423" s="24">
        <f>P423*(J423-(J423*L423)-((J423-(J423*L423))*M423))</f>
        <v>0</v>
      </c>
      <c r="S423" s="24">
        <f t="shared" si="104"/>
        <v>0</v>
      </c>
    </row>
    <row r="424" spans="1:19" s="19" customFormat="1">
      <c r="A424" s="18" t="s">
        <v>310</v>
      </c>
      <c r="B424" s="19" t="s">
        <v>25</v>
      </c>
      <c r="C424" s="20"/>
      <c r="D424" s="21" t="s">
        <v>41</v>
      </c>
      <c r="E424" s="26"/>
      <c r="F424" s="22">
        <v>1</v>
      </c>
      <c r="G424" s="23" t="s">
        <v>20</v>
      </c>
      <c r="H424" s="22">
        <v>20</v>
      </c>
      <c r="I424" s="23" t="s">
        <v>41</v>
      </c>
      <c r="J424" s="24">
        <f>504000/20</f>
        <v>25200</v>
      </c>
      <c r="K424" s="21" t="s">
        <v>41</v>
      </c>
      <c r="L424" s="25"/>
      <c r="M424" s="25">
        <v>0.17</v>
      </c>
      <c r="N424" s="22"/>
      <c r="O424" s="23" t="s">
        <v>41</v>
      </c>
      <c r="P424" s="20">
        <f>(C424+(E424*F424*H424))-N424</f>
        <v>0</v>
      </c>
      <c r="Q424" s="23" t="s">
        <v>41</v>
      </c>
      <c r="R424" s="24">
        <f>P424*(J424-(J424*L424)-((J424-(J424*L424))*M424))</f>
        <v>0</v>
      </c>
      <c r="S424" s="24">
        <f t="shared" si="104"/>
        <v>0</v>
      </c>
    </row>
    <row r="425" spans="1:19" s="19" customFormat="1">
      <c r="A425" s="18" t="s">
        <v>311</v>
      </c>
      <c r="B425" s="19" t="s">
        <v>25</v>
      </c>
      <c r="C425" s="20"/>
      <c r="D425" s="21" t="s">
        <v>41</v>
      </c>
      <c r="E425" s="26"/>
      <c r="F425" s="22">
        <v>1</v>
      </c>
      <c r="G425" s="23" t="s">
        <v>20</v>
      </c>
      <c r="H425" s="22">
        <v>20</v>
      </c>
      <c r="I425" s="23" t="s">
        <v>41</v>
      </c>
      <c r="J425" s="24">
        <f>480000/20</f>
        <v>24000</v>
      </c>
      <c r="K425" s="21" t="s">
        <v>41</v>
      </c>
      <c r="L425" s="25"/>
      <c r="M425" s="25">
        <v>0.17</v>
      </c>
      <c r="N425" s="22"/>
      <c r="O425" s="23" t="s">
        <v>41</v>
      </c>
      <c r="P425" s="20">
        <f>(C425+(E425*F425*H425))-N425</f>
        <v>0</v>
      </c>
      <c r="Q425" s="23" t="s">
        <v>41</v>
      </c>
      <c r="R425" s="24">
        <f>P425*(J425-(J425*L425)-((J425-(J425*L425))*M425))</f>
        <v>0</v>
      </c>
      <c r="S425" s="24">
        <f t="shared" si="104"/>
        <v>0</v>
      </c>
    </row>
    <row r="426" spans="1:19" s="19" customFormat="1">
      <c r="A426" s="18"/>
      <c r="C426" s="20"/>
      <c r="D426" s="21"/>
      <c r="E426" s="26"/>
      <c r="F426" s="22"/>
      <c r="G426" s="23"/>
      <c r="H426" s="22"/>
      <c r="I426" s="23"/>
      <c r="J426" s="24"/>
      <c r="K426" s="21"/>
      <c r="L426" s="25"/>
      <c r="M426" s="25"/>
      <c r="N426" s="22"/>
      <c r="O426" s="23"/>
      <c r="P426" s="20"/>
      <c r="Q426" s="23"/>
      <c r="R426" s="24"/>
      <c r="S426" s="24"/>
    </row>
    <row r="427" spans="1:19" s="19" customFormat="1">
      <c r="A427" s="88" t="s">
        <v>312</v>
      </c>
      <c r="C427" s="20"/>
      <c r="D427" s="21"/>
      <c r="E427" s="26"/>
      <c r="F427" s="22"/>
      <c r="G427" s="23"/>
      <c r="H427" s="22"/>
      <c r="I427" s="23"/>
      <c r="J427" s="24"/>
      <c r="K427" s="21"/>
      <c r="L427" s="25"/>
      <c r="M427" s="25"/>
      <c r="N427" s="22"/>
      <c r="O427" s="23"/>
      <c r="P427" s="20"/>
      <c r="Q427" s="23"/>
      <c r="R427" s="24"/>
      <c r="S427" s="24">
        <f t="shared" si="104"/>
        <v>0</v>
      </c>
    </row>
    <row r="428" spans="1:19" s="19" customFormat="1">
      <c r="A428" s="18" t="s">
        <v>313</v>
      </c>
      <c r="B428" s="19" t="s">
        <v>18</v>
      </c>
      <c r="C428" s="20"/>
      <c r="D428" s="21" t="s">
        <v>33</v>
      </c>
      <c r="E428" s="26">
        <v>2</v>
      </c>
      <c r="F428" s="22">
        <v>1</v>
      </c>
      <c r="G428" s="23" t="s">
        <v>20</v>
      </c>
      <c r="H428" s="22">
        <v>64</v>
      </c>
      <c r="I428" s="23" t="s">
        <v>33</v>
      </c>
      <c r="J428" s="24">
        <f>2100*12</f>
        <v>25200</v>
      </c>
      <c r="K428" s="21" t="s">
        <v>33</v>
      </c>
      <c r="L428" s="25">
        <v>0.125</v>
      </c>
      <c r="M428" s="25">
        <v>0.05</v>
      </c>
      <c r="N428" s="22"/>
      <c r="O428" s="23" t="s">
        <v>33</v>
      </c>
      <c r="P428" s="20">
        <f t="shared" ref="P428:P435" si="113">(C428+(E428*F428*H428))-N428</f>
        <v>128</v>
      </c>
      <c r="Q428" s="23" t="s">
        <v>33</v>
      </c>
      <c r="R428" s="24">
        <f t="shared" ref="R428:R435" si="114">P428*(J428-(J428*L428)-((J428-(J428*L428))*M428))</f>
        <v>2681280</v>
      </c>
      <c r="S428" s="24">
        <f t="shared" si="104"/>
        <v>2415567.5675675673</v>
      </c>
    </row>
    <row r="429" spans="1:19" s="19" customFormat="1">
      <c r="A429" s="18" t="s">
        <v>315</v>
      </c>
      <c r="B429" s="19" t="s">
        <v>18</v>
      </c>
      <c r="C429" s="20"/>
      <c r="D429" s="21" t="s">
        <v>33</v>
      </c>
      <c r="E429" s="26">
        <v>6</v>
      </c>
      <c r="F429" s="22">
        <v>1</v>
      </c>
      <c r="G429" s="23" t="s">
        <v>20</v>
      </c>
      <c r="H429" s="22">
        <v>36</v>
      </c>
      <c r="I429" s="23" t="s">
        <v>33</v>
      </c>
      <c r="J429" s="24">
        <f>2100*24</f>
        <v>50400</v>
      </c>
      <c r="K429" s="21" t="s">
        <v>33</v>
      </c>
      <c r="L429" s="25">
        <v>0.125</v>
      </c>
      <c r="M429" s="25">
        <v>0.05</v>
      </c>
      <c r="N429" s="22"/>
      <c r="O429" s="23" t="s">
        <v>33</v>
      </c>
      <c r="P429" s="20">
        <f t="shared" si="113"/>
        <v>216</v>
      </c>
      <c r="Q429" s="23" t="s">
        <v>33</v>
      </c>
      <c r="R429" s="24">
        <f t="shared" si="114"/>
        <v>9049320</v>
      </c>
      <c r="S429" s="24">
        <f>R429/1.11</f>
        <v>8152540.5405405397</v>
      </c>
    </row>
    <row r="430" spans="1:19" s="19" customFormat="1">
      <c r="A430" s="66" t="s">
        <v>751</v>
      </c>
      <c r="B430" s="19" t="s">
        <v>18</v>
      </c>
      <c r="C430" s="20"/>
      <c r="D430" s="21" t="s">
        <v>33</v>
      </c>
      <c r="E430" s="26"/>
      <c r="F430" s="22">
        <v>1</v>
      </c>
      <c r="G430" s="23" t="s">
        <v>20</v>
      </c>
      <c r="H430" s="22">
        <v>36</v>
      </c>
      <c r="I430" s="23" t="s">
        <v>33</v>
      </c>
      <c r="J430" s="24">
        <f>2300*24</f>
        <v>55200</v>
      </c>
      <c r="K430" s="21" t="s">
        <v>33</v>
      </c>
      <c r="L430" s="25">
        <v>0.125</v>
      </c>
      <c r="M430" s="25">
        <v>0.05</v>
      </c>
      <c r="N430" s="22"/>
      <c r="O430" s="23" t="s">
        <v>33</v>
      </c>
      <c r="P430" s="20">
        <f t="shared" si="113"/>
        <v>0</v>
      </c>
      <c r="Q430" s="23" t="s">
        <v>33</v>
      </c>
      <c r="R430" s="24">
        <f t="shared" si="114"/>
        <v>0</v>
      </c>
      <c r="S430" s="24">
        <f>R430/1.11</f>
        <v>0</v>
      </c>
    </row>
    <row r="431" spans="1:19" s="19" customFormat="1">
      <c r="A431" s="18" t="s">
        <v>750</v>
      </c>
      <c r="B431" s="19" t="s">
        <v>18</v>
      </c>
      <c r="C431" s="20"/>
      <c r="D431" s="21" t="s">
        <v>33</v>
      </c>
      <c r="E431" s="26"/>
      <c r="F431" s="22">
        <v>1</v>
      </c>
      <c r="G431" s="23" t="s">
        <v>20</v>
      </c>
      <c r="H431" s="22">
        <v>32</v>
      </c>
      <c r="I431" s="23" t="s">
        <v>33</v>
      </c>
      <c r="J431" s="24">
        <f>1300*12</f>
        <v>15600</v>
      </c>
      <c r="K431" s="21" t="s">
        <v>33</v>
      </c>
      <c r="L431" s="25">
        <v>0.125</v>
      </c>
      <c r="M431" s="25">
        <v>0.05</v>
      </c>
      <c r="N431" s="22"/>
      <c r="O431" s="23" t="s">
        <v>33</v>
      </c>
      <c r="P431" s="20">
        <f t="shared" si="113"/>
        <v>0</v>
      </c>
      <c r="Q431" s="23" t="s">
        <v>33</v>
      </c>
      <c r="R431" s="24">
        <f t="shared" si="114"/>
        <v>0</v>
      </c>
      <c r="S431" s="24">
        <f>R431/1.11</f>
        <v>0</v>
      </c>
    </row>
    <row r="432" spans="1:19" s="19" customFormat="1">
      <c r="A432" s="18" t="s">
        <v>314</v>
      </c>
      <c r="B432" s="19" t="s">
        <v>18</v>
      </c>
      <c r="C432" s="20"/>
      <c r="D432" s="21" t="s">
        <v>33</v>
      </c>
      <c r="E432" s="26"/>
      <c r="F432" s="22">
        <v>1</v>
      </c>
      <c r="G432" s="23" t="s">
        <v>20</v>
      </c>
      <c r="H432" s="22">
        <v>54</v>
      </c>
      <c r="I432" s="23" t="s">
        <v>33</v>
      </c>
      <c r="J432" s="24">
        <f>3400*12</f>
        <v>40800</v>
      </c>
      <c r="K432" s="21" t="s">
        <v>33</v>
      </c>
      <c r="L432" s="25">
        <v>0.125</v>
      </c>
      <c r="M432" s="25">
        <v>0.05</v>
      </c>
      <c r="N432" s="22"/>
      <c r="O432" s="23" t="s">
        <v>33</v>
      </c>
      <c r="P432" s="20">
        <f t="shared" si="113"/>
        <v>0</v>
      </c>
      <c r="Q432" s="23" t="s">
        <v>33</v>
      </c>
      <c r="R432" s="24">
        <f t="shared" si="114"/>
        <v>0</v>
      </c>
      <c r="S432" s="24">
        <f t="shared" si="104"/>
        <v>0</v>
      </c>
    </row>
    <row r="433" spans="1:19" s="19" customFormat="1">
      <c r="A433" s="66" t="s">
        <v>793</v>
      </c>
      <c r="B433" s="19" t="s">
        <v>18</v>
      </c>
      <c r="C433" s="20"/>
      <c r="D433" s="21" t="s">
        <v>33</v>
      </c>
      <c r="E433" s="26"/>
      <c r="F433" s="22">
        <v>1</v>
      </c>
      <c r="G433" s="23" t="s">
        <v>20</v>
      </c>
      <c r="H433" s="22">
        <v>24</v>
      </c>
      <c r="I433" s="23" t="s">
        <v>33</v>
      </c>
      <c r="J433" s="24">
        <f>3300*24</f>
        <v>79200</v>
      </c>
      <c r="K433" s="21" t="s">
        <v>33</v>
      </c>
      <c r="L433" s="25">
        <v>0.125</v>
      </c>
      <c r="M433" s="25">
        <v>0.05</v>
      </c>
      <c r="N433" s="22"/>
      <c r="O433" s="23" t="s">
        <v>33</v>
      </c>
      <c r="P433" s="20">
        <f t="shared" si="113"/>
        <v>0</v>
      </c>
      <c r="Q433" s="23" t="s">
        <v>33</v>
      </c>
      <c r="R433" s="24">
        <f t="shared" si="114"/>
        <v>0</v>
      </c>
      <c r="S433" s="24">
        <f>R433/1.11</f>
        <v>0</v>
      </c>
    </row>
    <row r="434" spans="1:19" s="19" customFormat="1">
      <c r="A434" s="66" t="s">
        <v>316</v>
      </c>
      <c r="B434" s="19" t="s">
        <v>18</v>
      </c>
      <c r="C434" s="20"/>
      <c r="D434" s="21" t="s">
        <v>33</v>
      </c>
      <c r="E434" s="26">
        <v>4</v>
      </c>
      <c r="F434" s="22">
        <v>1</v>
      </c>
      <c r="G434" s="23" t="s">
        <v>20</v>
      </c>
      <c r="H434" s="22">
        <v>36</v>
      </c>
      <c r="I434" s="23" t="s">
        <v>33</v>
      </c>
      <c r="J434" s="24">
        <f>2450*24</f>
        <v>58800</v>
      </c>
      <c r="K434" s="21" t="s">
        <v>33</v>
      </c>
      <c r="L434" s="25">
        <v>0.125</v>
      </c>
      <c r="M434" s="25">
        <v>0.05</v>
      </c>
      <c r="N434" s="22"/>
      <c r="O434" s="23" t="s">
        <v>33</v>
      </c>
      <c r="P434" s="20">
        <f t="shared" si="113"/>
        <v>144</v>
      </c>
      <c r="Q434" s="23" t="s">
        <v>33</v>
      </c>
      <c r="R434" s="24">
        <f t="shared" si="114"/>
        <v>7038360</v>
      </c>
      <c r="S434" s="24">
        <f>R434/1.11</f>
        <v>6340864.8648648644</v>
      </c>
    </row>
    <row r="435" spans="1:19" s="19" customFormat="1">
      <c r="A435" s="18" t="s">
        <v>747</v>
      </c>
      <c r="B435" s="19" t="s">
        <v>18</v>
      </c>
      <c r="C435" s="20"/>
      <c r="D435" s="21" t="s">
        <v>33</v>
      </c>
      <c r="E435" s="26"/>
      <c r="F435" s="22">
        <v>1</v>
      </c>
      <c r="G435" s="23" t="s">
        <v>20</v>
      </c>
      <c r="H435" s="22">
        <v>36</v>
      </c>
      <c r="I435" s="23" t="s">
        <v>33</v>
      </c>
      <c r="J435" s="24">
        <f>4600*12</f>
        <v>55200</v>
      </c>
      <c r="K435" s="21" t="s">
        <v>33</v>
      </c>
      <c r="L435" s="25">
        <v>0.125</v>
      </c>
      <c r="M435" s="25">
        <v>0.05</v>
      </c>
      <c r="N435" s="22"/>
      <c r="O435" s="23" t="s">
        <v>33</v>
      </c>
      <c r="P435" s="20">
        <f t="shared" si="113"/>
        <v>0</v>
      </c>
      <c r="Q435" s="23" t="s">
        <v>33</v>
      </c>
      <c r="R435" s="24">
        <f t="shared" si="114"/>
        <v>0</v>
      </c>
      <c r="S435" s="24">
        <f t="shared" ref="S435" si="115">R435/1.11</f>
        <v>0</v>
      </c>
    </row>
    <row r="436" spans="1:19" s="19" customFormat="1">
      <c r="A436" s="18"/>
      <c r="C436" s="20"/>
      <c r="D436" s="21"/>
      <c r="E436" s="26"/>
      <c r="F436" s="22"/>
      <c r="G436" s="23"/>
      <c r="H436" s="22"/>
      <c r="I436" s="23"/>
      <c r="J436" s="24"/>
      <c r="K436" s="21"/>
      <c r="L436" s="25"/>
      <c r="M436" s="25"/>
      <c r="N436" s="22"/>
      <c r="O436" s="23"/>
      <c r="P436" s="20"/>
      <c r="Q436" s="23"/>
      <c r="R436" s="24"/>
      <c r="S436" s="24"/>
    </row>
    <row r="437" spans="1:19" s="19" customFormat="1">
      <c r="A437" s="18" t="s">
        <v>317</v>
      </c>
      <c r="B437" s="19" t="s">
        <v>25</v>
      </c>
      <c r="C437" s="20"/>
      <c r="D437" s="21" t="s">
        <v>33</v>
      </c>
      <c r="E437" s="26">
        <v>4</v>
      </c>
      <c r="F437" s="22">
        <v>1</v>
      </c>
      <c r="G437" s="23" t="s">
        <v>20</v>
      </c>
      <c r="H437" s="22">
        <v>36</v>
      </c>
      <c r="I437" s="23" t="s">
        <v>33</v>
      </c>
      <c r="J437" s="24">
        <f>2376000/36</f>
        <v>66000</v>
      </c>
      <c r="K437" s="21" t="s">
        <v>33</v>
      </c>
      <c r="L437" s="25"/>
      <c r="M437" s="25">
        <v>0.17</v>
      </c>
      <c r="N437" s="22"/>
      <c r="O437" s="23" t="s">
        <v>33</v>
      </c>
      <c r="P437" s="20">
        <f>(C437+(E437*F437*H437))-N437</f>
        <v>144</v>
      </c>
      <c r="Q437" s="23" t="s">
        <v>33</v>
      </c>
      <c r="R437" s="24">
        <f>P437*(J437-(J437*L437)-((J437-(J437*L437))*M437))</f>
        <v>7888320</v>
      </c>
      <c r="S437" s="24">
        <f t="shared" si="104"/>
        <v>7106594.5945945941</v>
      </c>
    </row>
    <row r="438" spans="1:19" s="19" customFormat="1">
      <c r="A438" s="18" t="s">
        <v>318</v>
      </c>
      <c r="B438" s="19" t="s">
        <v>25</v>
      </c>
      <c r="C438" s="20"/>
      <c r="D438" s="21" t="s">
        <v>33</v>
      </c>
      <c r="E438" s="26">
        <v>2</v>
      </c>
      <c r="F438" s="22">
        <v>1</v>
      </c>
      <c r="G438" s="23" t="s">
        <v>20</v>
      </c>
      <c r="H438" s="22">
        <v>36</v>
      </c>
      <c r="I438" s="23" t="s">
        <v>33</v>
      </c>
      <c r="J438" s="24">
        <f>2592000/36</f>
        <v>72000</v>
      </c>
      <c r="K438" s="21" t="s">
        <v>33</v>
      </c>
      <c r="L438" s="25"/>
      <c r="M438" s="25">
        <v>0.17</v>
      </c>
      <c r="N438" s="22"/>
      <c r="O438" s="23" t="s">
        <v>33</v>
      </c>
      <c r="P438" s="20">
        <f>(C438+(E438*F438*H438))-N438</f>
        <v>72</v>
      </c>
      <c r="Q438" s="23" t="s">
        <v>33</v>
      </c>
      <c r="R438" s="24">
        <f>P438*(J438-(J438*L438)-((J438-(J438*L438))*M438))</f>
        <v>4302720</v>
      </c>
      <c r="S438" s="24">
        <f t="shared" si="104"/>
        <v>3876324.3243243238</v>
      </c>
    </row>
    <row r="439" spans="1:19" s="19" customFormat="1">
      <c r="A439" s="18" t="s">
        <v>319</v>
      </c>
      <c r="B439" s="19" t="s">
        <v>25</v>
      </c>
      <c r="C439" s="20"/>
      <c r="D439" s="21" t="s">
        <v>33</v>
      </c>
      <c r="E439" s="26"/>
      <c r="F439" s="22">
        <v>1</v>
      </c>
      <c r="G439" s="23" t="s">
        <v>20</v>
      </c>
      <c r="H439" s="22">
        <v>36</v>
      </c>
      <c r="I439" s="23" t="s">
        <v>33</v>
      </c>
      <c r="J439" s="24">
        <f>2160000/36</f>
        <v>60000</v>
      </c>
      <c r="K439" s="21" t="s">
        <v>33</v>
      </c>
      <c r="L439" s="25"/>
      <c r="M439" s="25">
        <v>0.17</v>
      </c>
      <c r="N439" s="22"/>
      <c r="O439" s="23" t="s">
        <v>33</v>
      </c>
      <c r="P439" s="20">
        <f>(C439+(E439*F439*H439))-N439</f>
        <v>0</v>
      </c>
      <c r="Q439" s="23" t="s">
        <v>33</v>
      </c>
      <c r="R439" s="24">
        <f>P439*(J439-(J439*L439)-((J439-(J439*L439))*M439))</f>
        <v>0</v>
      </c>
      <c r="S439" s="24">
        <f t="shared" si="104"/>
        <v>0</v>
      </c>
    </row>
    <row r="440" spans="1:19" s="19" customFormat="1">
      <c r="A440" s="18"/>
      <c r="C440" s="20"/>
      <c r="D440" s="21"/>
      <c r="E440" s="26"/>
      <c r="F440" s="22"/>
      <c r="G440" s="23"/>
      <c r="H440" s="22"/>
      <c r="I440" s="23"/>
      <c r="J440" s="24"/>
      <c r="K440" s="21"/>
      <c r="L440" s="25"/>
      <c r="M440" s="25"/>
      <c r="N440" s="22"/>
      <c r="O440" s="23"/>
      <c r="P440" s="20"/>
      <c r="Q440" s="23"/>
      <c r="R440" s="24"/>
      <c r="S440" s="24"/>
    </row>
    <row r="441" spans="1:19" s="19" customFormat="1">
      <c r="A441" s="88" t="s">
        <v>799</v>
      </c>
      <c r="C441" s="20"/>
      <c r="D441" s="21"/>
      <c r="E441" s="26"/>
      <c r="F441" s="22"/>
      <c r="G441" s="23"/>
      <c r="H441" s="22"/>
      <c r="I441" s="23"/>
      <c r="J441" s="24"/>
      <c r="K441" s="21"/>
      <c r="L441" s="25"/>
      <c r="M441" s="25"/>
      <c r="N441" s="22"/>
      <c r="O441" s="23"/>
      <c r="P441" s="20"/>
      <c r="Q441" s="23"/>
      <c r="R441" s="24"/>
      <c r="S441" s="24"/>
    </row>
    <row r="442" spans="1:19" s="19" customFormat="1">
      <c r="A442" s="18" t="s">
        <v>320</v>
      </c>
      <c r="B442" s="19" t="s">
        <v>25</v>
      </c>
      <c r="C442" s="20"/>
      <c r="D442" s="21" t="s">
        <v>104</v>
      </c>
      <c r="E442" s="26"/>
      <c r="F442" s="22">
        <v>1</v>
      </c>
      <c r="G442" s="23" t="s">
        <v>20</v>
      </c>
      <c r="H442" s="22">
        <v>60</v>
      </c>
      <c r="I442" s="23" t="s">
        <v>104</v>
      </c>
      <c r="J442" s="24">
        <v>18600</v>
      </c>
      <c r="K442" s="21" t="s">
        <v>104</v>
      </c>
      <c r="L442" s="25"/>
      <c r="M442" s="25">
        <v>0.17</v>
      </c>
      <c r="N442" s="22"/>
      <c r="O442" s="23" t="s">
        <v>104</v>
      </c>
      <c r="P442" s="20">
        <f>(C442+(E442*F442*H442))-N442</f>
        <v>0</v>
      </c>
      <c r="Q442" s="23" t="s">
        <v>104</v>
      </c>
      <c r="R442" s="24">
        <f>P442*(J442-(J442*L442)-((J442-(J442*L442))*M442))</f>
        <v>0</v>
      </c>
      <c r="S442" s="24">
        <f t="shared" si="104"/>
        <v>0</v>
      </c>
    </row>
    <row r="443" spans="1:19" s="19" customFormat="1">
      <c r="A443" s="18"/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19" s="19" customFormat="1">
      <c r="A444" s="18" t="s">
        <v>800</v>
      </c>
      <c r="B444" s="18" t="s">
        <v>177</v>
      </c>
      <c r="C444" s="60"/>
      <c r="D444" s="61" t="s">
        <v>41</v>
      </c>
      <c r="E444" s="62"/>
      <c r="F444" s="63">
        <v>1</v>
      </c>
      <c r="G444" s="58" t="s">
        <v>20</v>
      </c>
      <c r="H444" s="63">
        <v>160</v>
      </c>
      <c r="I444" s="58" t="s">
        <v>41</v>
      </c>
      <c r="J444" s="29">
        <v>7750</v>
      </c>
      <c r="K444" s="61" t="s">
        <v>41</v>
      </c>
      <c r="L444" s="64">
        <v>0.05</v>
      </c>
      <c r="M444" s="64"/>
      <c r="N444" s="63"/>
      <c r="O444" s="58" t="s">
        <v>41</v>
      </c>
      <c r="P444" s="60">
        <f>(C444+(E444*F444*H444))-N444</f>
        <v>0</v>
      </c>
      <c r="Q444" s="58" t="s">
        <v>41</v>
      </c>
      <c r="R444" s="29">
        <f>P444*(J444-(J444*L444)-((J444-(J444*L444))*M444))</f>
        <v>0</v>
      </c>
      <c r="S444" s="29">
        <f t="shared" si="104"/>
        <v>0</v>
      </c>
    </row>
    <row r="445" spans="1:19" s="19" customFormat="1">
      <c r="A445" s="18"/>
      <c r="C445" s="20"/>
      <c r="D445" s="21"/>
      <c r="E445" s="26"/>
      <c r="F445" s="22"/>
      <c r="G445" s="23"/>
      <c r="H445" s="22"/>
      <c r="I445" s="23"/>
      <c r="J445" s="24"/>
      <c r="K445" s="21"/>
      <c r="L445" s="25"/>
      <c r="M445" s="25"/>
      <c r="N445" s="22"/>
      <c r="O445" s="23"/>
      <c r="P445" s="20"/>
      <c r="Q445" s="23"/>
      <c r="R445" s="24"/>
      <c r="S445" s="24"/>
    </row>
    <row r="446" spans="1:19" s="19" customFormat="1">
      <c r="A446" s="88" t="s">
        <v>321</v>
      </c>
      <c r="C446" s="20"/>
      <c r="D446" s="21"/>
      <c r="E446" s="26"/>
      <c r="F446" s="22"/>
      <c r="G446" s="23"/>
      <c r="H446" s="22"/>
      <c r="I446" s="23"/>
      <c r="J446" s="24"/>
      <c r="K446" s="21"/>
      <c r="L446" s="25"/>
      <c r="M446" s="25"/>
      <c r="N446" s="22"/>
      <c r="O446" s="23"/>
      <c r="P446" s="20"/>
      <c r="Q446" s="23"/>
      <c r="R446" s="24"/>
      <c r="S446" s="24"/>
    </row>
    <row r="447" spans="1:19" s="19" customFormat="1">
      <c r="A447" s="18" t="s">
        <v>322</v>
      </c>
      <c r="B447" s="19" t="s">
        <v>323</v>
      </c>
      <c r="C447" s="20"/>
      <c r="D447" s="21" t="s">
        <v>324</v>
      </c>
      <c r="E447" s="26"/>
      <c r="F447" s="22">
        <v>1</v>
      </c>
      <c r="G447" s="23" t="s">
        <v>20</v>
      </c>
      <c r="H447" s="22">
        <v>25</v>
      </c>
      <c r="I447" s="23" t="s">
        <v>324</v>
      </c>
      <c r="J447" s="24">
        <v>55000</v>
      </c>
      <c r="K447" s="21" t="s">
        <v>324</v>
      </c>
      <c r="L447" s="25"/>
      <c r="M447" s="25"/>
      <c r="N447" s="22"/>
      <c r="O447" s="23" t="s">
        <v>324</v>
      </c>
      <c r="P447" s="20">
        <f>(C447+(E447*F447*H447))-N447</f>
        <v>0</v>
      </c>
      <c r="Q447" s="23" t="s">
        <v>324</v>
      </c>
      <c r="R447" s="24">
        <f>P447*(J447-(J447*L447)-((J447-(J447*L447))*M447))</f>
        <v>0</v>
      </c>
      <c r="S447" s="24">
        <f t="shared" si="104"/>
        <v>0</v>
      </c>
    </row>
    <row r="448" spans="1:19" s="19" customFormat="1">
      <c r="A448" s="18"/>
      <c r="C448" s="20"/>
      <c r="D448" s="21"/>
      <c r="E448" s="26"/>
      <c r="F448" s="22"/>
      <c r="G448" s="23"/>
      <c r="H448" s="22"/>
      <c r="I448" s="23"/>
      <c r="J448" s="24"/>
      <c r="K448" s="21"/>
      <c r="L448" s="25"/>
      <c r="M448" s="25"/>
      <c r="N448" s="22"/>
      <c r="O448" s="23"/>
      <c r="P448" s="20"/>
      <c r="Q448" s="23"/>
      <c r="R448" s="24"/>
      <c r="S448" s="24"/>
    </row>
    <row r="449" spans="1:19" s="19" customFormat="1" ht="15.75">
      <c r="A449" s="44" t="s">
        <v>325</v>
      </c>
      <c r="C449" s="20"/>
      <c r="D449" s="21"/>
      <c r="E449" s="26"/>
      <c r="F449" s="22"/>
      <c r="G449" s="23"/>
      <c r="H449" s="22"/>
      <c r="I449" s="23"/>
      <c r="J449" s="24"/>
      <c r="K449" s="21"/>
      <c r="L449" s="25"/>
      <c r="M449" s="25"/>
      <c r="N449" s="22"/>
      <c r="O449" s="23"/>
      <c r="P449" s="20"/>
      <c r="Q449" s="23"/>
      <c r="R449" s="24"/>
      <c r="S449" s="24"/>
    </row>
    <row r="450" spans="1:19" s="19" customFormat="1">
      <c r="A450" s="18" t="s">
        <v>326</v>
      </c>
      <c r="B450" s="19" t="s">
        <v>18</v>
      </c>
      <c r="C450" s="20"/>
      <c r="D450" s="21" t="s">
        <v>100</v>
      </c>
      <c r="E450" s="26"/>
      <c r="F450" s="22">
        <v>1</v>
      </c>
      <c r="G450" s="23" t="s">
        <v>20</v>
      </c>
      <c r="H450" s="22">
        <v>192</v>
      </c>
      <c r="I450" s="23" t="s">
        <v>100</v>
      </c>
      <c r="J450" s="24">
        <v>3450</v>
      </c>
      <c r="K450" s="21" t="s">
        <v>100</v>
      </c>
      <c r="L450" s="25">
        <v>0.125</v>
      </c>
      <c r="M450" s="25">
        <v>0.05</v>
      </c>
      <c r="N450" s="22"/>
      <c r="O450" s="23" t="s">
        <v>100</v>
      </c>
      <c r="P450" s="20">
        <f t="shared" ref="P450:P455" si="116">(C450+(E450*F450*H450))-N450</f>
        <v>0</v>
      </c>
      <c r="Q450" s="23" t="s">
        <v>100</v>
      </c>
      <c r="R450" s="24">
        <f t="shared" ref="R450:R455" si="117">P450*(J450-(J450*L450)-((J450-(J450*L450))*M450))</f>
        <v>0</v>
      </c>
      <c r="S450" s="24">
        <f t="shared" ref="S450:S532" si="118">R450/1.11</f>
        <v>0</v>
      </c>
    </row>
    <row r="451" spans="1:19" s="19" customFormat="1">
      <c r="A451" s="18" t="s">
        <v>327</v>
      </c>
      <c r="B451" s="19" t="s">
        <v>18</v>
      </c>
      <c r="C451" s="20"/>
      <c r="D451" s="21" t="s">
        <v>100</v>
      </c>
      <c r="E451" s="26"/>
      <c r="F451" s="22">
        <v>1</v>
      </c>
      <c r="G451" s="23" t="s">
        <v>20</v>
      </c>
      <c r="H451" s="22">
        <v>160</v>
      </c>
      <c r="I451" s="23" t="s">
        <v>100</v>
      </c>
      <c r="J451" s="24">
        <v>5400</v>
      </c>
      <c r="K451" s="21" t="s">
        <v>100</v>
      </c>
      <c r="L451" s="25">
        <v>0.125</v>
      </c>
      <c r="M451" s="25">
        <v>0.05</v>
      </c>
      <c r="N451" s="22"/>
      <c r="O451" s="23" t="s">
        <v>100</v>
      </c>
      <c r="P451" s="20">
        <f t="shared" si="116"/>
        <v>0</v>
      </c>
      <c r="Q451" s="23" t="s">
        <v>100</v>
      </c>
      <c r="R451" s="24">
        <f t="shared" si="117"/>
        <v>0</v>
      </c>
      <c r="S451" s="24">
        <f t="shared" si="118"/>
        <v>0</v>
      </c>
    </row>
    <row r="452" spans="1:19" s="19" customFormat="1">
      <c r="A452" s="18" t="s">
        <v>328</v>
      </c>
      <c r="B452" s="19" t="s">
        <v>18</v>
      </c>
      <c r="C452" s="20"/>
      <c r="D452" s="21" t="s">
        <v>100</v>
      </c>
      <c r="E452" s="26">
        <v>1</v>
      </c>
      <c r="F452" s="22">
        <v>1</v>
      </c>
      <c r="G452" s="23" t="s">
        <v>20</v>
      </c>
      <c r="H452" s="22">
        <v>192</v>
      </c>
      <c r="I452" s="23" t="s">
        <v>100</v>
      </c>
      <c r="J452" s="24">
        <v>3600</v>
      </c>
      <c r="K452" s="21" t="s">
        <v>100</v>
      </c>
      <c r="L452" s="25">
        <v>0.125</v>
      </c>
      <c r="M452" s="25">
        <v>0.05</v>
      </c>
      <c r="N452" s="22"/>
      <c r="O452" s="23" t="s">
        <v>100</v>
      </c>
      <c r="P452" s="20">
        <f t="shared" si="116"/>
        <v>192</v>
      </c>
      <c r="Q452" s="23" t="s">
        <v>100</v>
      </c>
      <c r="R452" s="24">
        <f t="shared" si="117"/>
        <v>574560</v>
      </c>
      <c r="S452" s="24">
        <f t="shared" si="118"/>
        <v>517621.6216216216</v>
      </c>
    </row>
    <row r="453" spans="1:19" s="19" customFormat="1">
      <c r="A453" s="18" t="s">
        <v>329</v>
      </c>
      <c r="B453" s="19" t="s">
        <v>18</v>
      </c>
      <c r="C453" s="20"/>
      <c r="D453" s="21" t="s">
        <v>100</v>
      </c>
      <c r="E453" s="26"/>
      <c r="F453" s="22">
        <v>1</v>
      </c>
      <c r="G453" s="23" t="s">
        <v>20</v>
      </c>
      <c r="H453" s="22">
        <v>96</v>
      </c>
      <c r="I453" s="23" t="s">
        <v>100</v>
      </c>
      <c r="J453" s="24">
        <v>7000</v>
      </c>
      <c r="K453" s="21" t="s">
        <v>100</v>
      </c>
      <c r="L453" s="25">
        <v>0.125</v>
      </c>
      <c r="M453" s="25">
        <v>0.05</v>
      </c>
      <c r="N453" s="22"/>
      <c r="O453" s="23" t="s">
        <v>100</v>
      </c>
      <c r="P453" s="20">
        <f t="shared" si="116"/>
        <v>0</v>
      </c>
      <c r="Q453" s="23" t="s">
        <v>100</v>
      </c>
      <c r="R453" s="24">
        <f t="shared" si="117"/>
        <v>0</v>
      </c>
      <c r="S453" s="24">
        <f t="shared" si="118"/>
        <v>0</v>
      </c>
    </row>
    <row r="454" spans="1:19" s="19" customFormat="1">
      <c r="A454" s="18" t="s">
        <v>784</v>
      </c>
      <c r="B454" s="19" t="s">
        <v>18</v>
      </c>
      <c r="C454" s="20"/>
      <c r="D454" s="21" t="s">
        <v>100</v>
      </c>
      <c r="E454" s="26"/>
      <c r="F454" s="22">
        <v>1</v>
      </c>
      <c r="G454" s="23" t="s">
        <v>20</v>
      </c>
      <c r="H454" s="22">
        <v>160</v>
      </c>
      <c r="I454" s="23" t="s">
        <v>100</v>
      </c>
      <c r="J454" s="24">
        <v>5700</v>
      </c>
      <c r="K454" s="21" t="s">
        <v>100</v>
      </c>
      <c r="L454" s="25">
        <v>0.125</v>
      </c>
      <c r="M454" s="25">
        <v>0.05</v>
      </c>
      <c r="N454" s="22"/>
      <c r="O454" s="23" t="s">
        <v>100</v>
      </c>
      <c r="P454" s="20">
        <f t="shared" si="116"/>
        <v>0</v>
      </c>
      <c r="Q454" s="23" t="s">
        <v>100</v>
      </c>
      <c r="R454" s="24">
        <f t="shared" si="117"/>
        <v>0</v>
      </c>
      <c r="S454" s="24">
        <f t="shared" si="118"/>
        <v>0</v>
      </c>
    </row>
    <row r="455" spans="1:19" s="19" customFormat="1">
      <c r="A455" s="18" t="s">
        <v>330</v>
      </c>
      <c r="B455" s="19" t="s">
        <v>18</v>
      </c>
      <c r="C455" s="20"/>
      <c r="D455" s="21" t="s">
        <v>100</v>
      </c>
      <c r="E455" s="26"/>
      <c r="F455" s="22">
        <v>1</v>
      </c>
      <c r="G455" s="23" t="s">
        <v>20</v>
      </c>
      <c r="H455" s="22">
        <v>80</v>
      </c>
      <c r="I455" s="23" t="s">
        <v>100</v>
      </c>
      <c r="J455" s="24">
        <v>10800</v>
      </c>
      <c r="K455" s="21" t="s">
        <v>100</v>
      </c>
      <c r="L455" s="25">
        <v>0.125</v>
      </c>
      <c r="M455" s="25">
        <v>0.05</v>
      </c>
      <c r="N455" s="22"/>
      <c r="O455" s="23" t="s">
        <v>100</v>
      </c>
      <c r="P455" s="20">
        <f t="shared" si="116"/>
        <v>0</v>
      </c>
      <c r="Q455" s="23" t="s">
        <v>100</v>
      </c>
      <c r="R455" s="24">
        <f t="shared" si="117"/>
        <v>0</v>
      </c>
      <c r="S455" s="24">
        <f t="shared" si="118"/>
        <v>0</v>
      </c>
    </row>
    <row r="456" spans="1:19" s="19" customFormat="1">
      <c r="A456" s="18"/>
      <c r="C456" s="20"/>
      <c r="D456" s="21"/>
      <c r="E456" s="26"/>
      <c r="F456" s="22"/>
      <c r="G456" s="23"/>
      <c r="H456" s="22"/>
      <c r="I456" s="23"/>
      <c r="J456" s="24"/>
      <c r="K456" s="21"/>
      <c r="L456" s="25"/>
      <c r="M456" s="25"/>
      <c r="N456" s="22"/>
      <c r="O456" s="23"/>
      <c r="P456" s="20"/>
      <c r="Q456" s="23"/>
      <c r="R456" s="24"/>
      <c r="S456" s="24"/>
    </row>
    <row r="457" spans="1:19" s="19" customFormat="1">
      <c r="A457" s="18" t="s">
        <v>331</v>
      </c>
      <c r="B457" s="19" t="s">
        <v>25</v>
      </c>
      <c r="C457" s="20"/>
      <c r="D457" s="21" t="s">
        <v>100</v>
      </c>
      <c r="E457" s="26">
        <v>1</v>
      </c>
      <c r="F457" s="22">
        <v>1</v>
      </c>
      <c r="G457" s="23" t="s">
        <v>20</v>
      </c>
      <c r="H457" s="22">
        <v>192</v>
      </c>
      <c r="I457" s="23" t="s">
        <v>100</v>
      </c>
      <c r="J457" s="24">
        <f>844800/192</f>
        <v>4400</v>
      </c>
      <c r="K457" s="21" t="s">
        <v>100</v>
      </c>
      <c r="L457" s="25"/>
      <c r="M457" s="25">
        <v>0.17</v>
      </c>
      <c r="N457" s="22"/>
      <c r="O457" s="23" t="s">
        <v>100</v>
      </c>
      <c r="P457" s="20">
        <f>(C457+(E457*F457*H457))-N457</f>
        <v>192</v>
      </c>
      <c r="Q457" s="23" t="s">
        <v>100</v>
      </c>
      <c r="R457" s="24">
        <f>P457*(J457-(J457*L457)-((J457-(J457*L457))*M457))</f>
        <v>701184</v>
      </c>
      <c r="S457" s="24">
        <f t="shared" si="118"/>
        <v>631697.29729729728</v>
      </c>
    </row>
    <row r="458" spans="1:19" s="19" customFormat="1">
      <c r="A458" s="18" t="s">
        <v>332</v>
      </c>
      <c r="B458" s="19" t="s">
        <v>25</v>
      </c>
      <c r="C458" s="20"/>
      <c r="D458" s="21" t="s">
        <v>100</v>
      </c>
      <c r="E458" s="26"/>
      <c r="F458" s="22">
        <v>1</v>
      </c>
      <c r="G458" s="23" t="s">
        <v>20</v>
      </c>
      <c r="H458" s="22">
        <v>96</v>
      </c>
      <c r="I458" s="23" t="s">
        <v>100</v>
      </c>
      <c r="J458" s="24">
        <f>801600/96</f>
        <v>8350</v>
      </c>
      <c r="K458" s="21" t="s">
        <v>100</v>
      </c>
      <c r="L458" s="25"/>
      <c r="M458" s="25">
        <v>0.17</v>
      </c>
      <c r="N458" s="22"/>
      <c r="O458" s="23" t="s">
        <v>100</v>
      </c>
      <c r="P458" s="20">
        <f>(C458+(E458*F458*H458))-N458</f>
        <v>0</v>
      </c>
      <c r="Q458" s="23" t="s">
        <v>100</v>
      </c>
      <c r="R458" s="24">
        <f>P458*(J458-(J458*L458)-((J458-(J458*L458))*M458))</f>
        <v>0</v>
      </c>
      <c r="S458" s="24">
        <f t="shared" si="118"/>
        <v>0</v>
      </c>
    </row>
    <row r="459" spans="1:19" s="19" customFormat="1">
      <c r="A459" s="18" t="s">
        <v>333</v>
      </c>
      <c r="B459" s="19" t="s">
        <v>25</v>
      </c>
      <c r="C459" s="20"/>
      <c r="D459" s="21" t="s">
        <v>100</v>
      </c>
      <c r="E459" s="26"/>
      <c r="F459" s="22">
        <v>1</v>
      </c>
      <c r="G459" s="23" t="s">
        <v>20</v>
      </c>
      <c r="H459" s="22">
        <v>160</v>
      </c>
      <c r="I459" s="23" t="s">
        <v>100</v>
      </c>
      <c r="J459" s="24">
        <f>1104000/160</f>
        <v>6900</v>
      </c>
      <c r="K459" s="21" t="s">
        <v>100</v>
      </c>
      <c r="L459" s="25"/>
      <c r="M459" s="25">
        <v>0.17</v>
      </c>
      <c r="N459" s="22"/>
      <c r="O459" s="23" t="s">
        <v>100</v>
      </c>
      <c r="P459" s="20">
        <f>(C459+(E459*F459*H459))-N459</f>
        <v>0</v>
      </c>
      <c r="Q459" s="23" t="s">
        <v>100</v>
      </c>
      <c r="R459" s="24">
        <f>P459*(J459-(J459*L459)-((J459-(J459*L459))*M459))</f>
        <v>0</v>
      </c>
      <c r="S459" s="24">
        <f t="shared" si="118"/>
        <v>0</v>
      </c>
    </row>
    <row r="460" spans="1:19" s="19" customFormat="1">
      <c r="A460" s="18" t="s">
        <v>334</v>
      </c>
      <c r="B460" s="19" t="s">
        <v>25</v>
      </c>
      <c r="C460" s="20"/>
      <c r="D460" s="21" t="s">
        <v>100</v>
      </c>
      <c r="E460" s="26">
        <v>1</v>
      </c>
      <c r="F460" s="22">
        <v>1</v>
      </c>
      <c r="G460" s="23" t="s">
        <v>20</v>
      </c>
      <c r="H460" s="22">
        <v>80</v>
      </c>
      <c r="I460" s="23" t="s">
        <v>100</v>
      </c>
      <c r="J460" s="24">
        <f>1040000/80</f>
        <v>13000</v>
      </c>
      <c r="K460" s="21" t="s">
        <v>100</v>
      </c>
      <c r="L460" s="25"/>
      <c r="M460" s="25">
        <v>0.17</v>
      </c>
      <c r="N460" s="22"/>
      <c r="O460" s="23" t="s">
        <v>100</v>
      </c>
      <c r="P460" s="20">
        <f>(C460+(E460*F460*H460))-N460</f>
        <v>80</v>
      </c>
      <c r="Q460" s="23" t="s">
        <v>100</v>
      </c>
      <c r="R460" s="24">
        <f>P460*(J460-(J460*L460)-((J460-(J460*L460))*M460))</f>
        <v>863200</v>
      </c>
      <c r="S460" s="24">
        <f t="shared" si="118"/>
        <v>777657.65765765763</v>
      </c>
    </row>
    <row r="461" spans="1:19" s="19" customFormat="1">
      <c r="A461" s="18"/>
      <c r="C461" s="20"/>
      <c r="D461" s="21"/>
      <c r="E461" s="26"/>
      <c r="F461" s="22"/>
      <c r="G461" s="23"/>
      <c r="H461" s="22"/>
      <c r="I461" s="23"/>
      <c r="J461" s="24"/>
      <c r="K461" s="21"/>
      <c r="L461" s="25"/>
      <c r="M461" s="25"/>
      <c r="N461" s="22"/>
      <c r="O461" s="23"/>
      <c r="P461" s="20"/>
      <c r="Q461" s="23"/>
      <c r="R461" s="24"/>
      <c r="S461" s="24"/>
    </row>
    <row r="462" spans="1:19" s="19" customFormat="1" ht="15.75">
      <c r="A462" s="44" t="s">
        <v>805</v>
      </c>
      <c r="C462" s="20"/>
      <c r="D462" s="21"/>
      <c r="E462" s="26"/>
      <c r="F462" s="22"/>
      <c r="G462" s="23"/>
      <c r="H462" s="22"/>
      <c r="I462" s="23"/>
      <c r="J462" s="24"/>
      <c r="K462" s="21"/>
      <c r="L462" s="90"/>
      <c r="M462" s="90"/>
      <c r="N462" s="22"/>
      <c r="O462" s="23"/>
      <c r="P462" s="20"/>
      <c r="Q462" s="23"/>
      <c r="R462" s="24"/>
      <c r="S462" s="24"/>
    </row>
    <row r="463" spans="1:19" s="19" customFormat="1">
      <c r="A463" s="18" t="s">
        <v>806</v>
      </c>
      <c r="B463" s="18" t="s">
        <v>177</v>
      </c>
      <c r="C463" s="60"/>
      <c r="D463" s="61" t="s">
        <v>19</v>
      </c>
      <c r="E463" s="62"/>
      <c r="F463" s="63">
        <v>1</v>
      </c>
      <c r="G463" s="58" t="s">
        <v>20</v>
      </c>
      <c r="H463" s="63">
        <v>10</v>
      </c>
      <c r="I463" s="58" t="s">
        <v>19</v>
      </c>
      <c r="J463" s="29">
        <v>55000</v>
      </c>
      <c r="K463" s="61" t="s">
        <v>19</v>
      </c>
      <c r="L463" s="64">
        <v>0.05</v>
      </c>
      <c r="M463" s="64"/>
      <c r="N463" s="63"/>
      <c r="O463" s="58" t="s">
        <v>19</v>
      </c>
      <c r="P463" s="60">
        <f>(C463+(E463*F463*H463))-N463</f>
        <v>0</v>
      </c>
      <c r="Q463" s="58" t="s">
        <v>19</v>
      </c>
      <c r="R463" s="29">
        <f>P463*(J463-(J463*L463)-((J463-(J463*L463))*M463))</f>
        <v>0</v>
      </c>
      <c r="S463" s="29">
        <f t="shared" ref="S463" si="119">R463/1.11</f>
        <v>0</v>
      </c>
    </row>
    <row r="464" spans="1:19" s="19" customFormat="1">
      <c r="A464" s="18"/>
      <c r="C464" s="20"/>
      <c r="D464" s="21"/>
      <c r="E464" s="26"/>
      <c r="F464" s="22"/>
      <c r="G464" s="23"/>
      <c r="H464" s="22"/>
      <c r="I464" s="23"/>
      <c r="J464" s="24"/>
      <c r="K464" s="21"/>
      <c r="L464" s="25"/>
      <c r="M464" s="25"/>
      <c r="N464" s="22"/>
      <c r="O464" s="23"/>
      <c r="P464" s="20"/>
      <c r="Q464" s="23"/>
      <c r="R464" s="24"/>
      <c r="S464" s="24"/>
    </row>
    <row r="465" spans="1:20" s="19" customFormat="1" ht="15.75">
      <c r="A465" s="44" t="s">
        <v>335</v>
      </c>
      <c r="C465" s="20"/>
      <c r="D465" s="21"/>
      <c r="E465" s="26"/>
      <c r="F465" s="22"/>
      <c r="G465" s="23"/>
      <c r="H465" s="22"/>
      <c r="I465" s="23"/>
      <c r="J465" s="24"/>
      <c r="K465" s="21"/>
      <c r="L465" s="90"/>
      <c r="M465" s="90"/>
      <c r="N465" s="22"/>
      <c r="O465" s="23"/>
      <c r="P465" s="20"/>
      <c r="Q465" s="23"/>
      <c r="R465" s="24"/>
      <c r="S465" s="24"/>
    </row>
    <row r="466" spans="1:20" s="19" customFormat="1">
      <c r="A466" s="88" t="s">
        <v>336</v>
      </c>
      <c r="C466" s="20"/>
      <c r="D466" s="21"/>
      <c r="E466" s="26"/>
      <c r="F466" s="22"/>
      <c r="G466" s="23"/>
      <c r="H466" s="22"/>
      <c r="I466" s="23"/>
      <c r="J466" s="24"/>
      <c r="K466" s="21"/>
      <c r="L466" s="90"/>
      <c r="M466" s="90"/>
      <c r="N466" s="22"/>
      <c r="O466" s="23"/>
      <c r="P466" s="20"/>
      <c r="Q466" s="23"/>
      <c r="R466" s="24"/>
      <c r="S466" s="24"/>
    </row>
    <row r="467" spans="1:20" s="19" customFormat="1">
      <c r="A467" s="18" t="s">
        <v>337</v>
      </c>
      <c r="B467" s="19" t="s">
        <v>18</v>
      </c>
      <c r="C467" s="20"/>
      <c r="D467" s="21" t="s">
        <v>19</v>
      </c>
      <c r="E467" s="26"/>
      <c r="F467" s="22">
        <v>1</v>
      </c>
      <c r="G467" s="23" t="s">
        <v>20</v>
      </c>
      <c r="H467" s="22">
        <v>24</v>
      </c>
      <c r="I467" s="23" t="s">
        <v>19</v>
      </c>
      <c r="J467" s="24">
        <v>35000</v>
      </c>
      <c r="K467" s="21" t="s">
        <v>19</v>
      </c>
      <c r="L467" s="25">
        <v>0.125</v>
      </c>
      <c r="M467" s="25">
        <v>0.05</v>
      </c>
      <c r="N467" s="22"/>
      <c r="O467" s="23" t="s">
        <v>19</v>
      </c>
      <c r="P467" s="20">
        <f>(C467+(E467*F467*H467))-N467</f>
        <v>0</v>
      </c>
      <c r="Q467" s="23" t="s">
        <v>19</v>
      </c>
      <c r="R467" s="24">
        <f>P467*(J467-(J467*L467)-((J467-(J467*L467))*M467))</f>
        <v>0</v>
      </c>
      <c r="S467" s="24">
        <f t="shared" si="118"/>
        <v>0</v>
      </c>
    </row>
    <row r="468" spans="1:20" s="19" customFormat="1">
      <c r="A468" s="18" t="s">
        <v>338</v>
      </c>
      <c r="B468" s="19" t="s">
        <v>18</v>
      </c>
      <c r="C468" s="20"/>
      <c r="D468" s="21" t="s">
        <v>19</v>
      </c>
      <c r="E468" s="26"/>
      <c r="F468" s="22">
        <v>1</v>
      </c>
      <c r="G468" s="23" t="s">
        <v>20</v>
      </c>
      <c r="H468" s="22">
        <v>72</v>
      </c>
      <c r="I468" s="23" t="s">
        <v>19</v>
      </c>
      <c r="J468" s="24">
        <v>15800</v>
      </c>
      <c r="K468" s="21" t="s">
        <v>19</v>
      </c>
      <c r="L468" s="25">
        <v>0.125</v>
      </c>
      <c r="M468" s="25">
        <v>0.05</v>
      </c>
      <c r="N468" s="22"/>
      <c r="O468" s="23" t="s">
        <v>19</v>
      </c>
      <c r="P468" s="20">
        <f>(C468+(E468*F468*H468))-N468</f>
        <v>0</v>
      </c>
      <c r="Q468" s="23" t="s">
        <v>19</v>
      </c>
      <c r="R468" s="24">
        <f>P468*(J468-(J468*L468)-((J468-(J468*L468))*M468))</f>
        <v>0</v>
      </c>
      <c r="S468" s="24">
        <f t="shared" si="118"/>
        <v>0</v>
      </c>
      <c r="T468" s="24"/>
    </row>
    <row r="469" spans="1:20" s="19" customFormat="1">
      <c r="A469" s="18" t="s">
        <v>339</v>
      </c>
      <c r="B469" s="19" t="s">
        <v>18</v>
      </c>
      <c r="C469" s="20"/>
      <c r="D469" s="21" t="s">
        <v>19</v>
      </c>
      <c r="E469" s="26"/>
      <c r="F469" s="22">
        <v>1</v>
      </c>
      <c r="G469" s="23" t="s">
        <v>20</v>
      </c>
      <c r="H469" s="22">
        <v>72</v>
      </c>
      <c r="I469" s="23" t="s">
        <v>19</v>
      </c>
      <c r="J469" s="24">
        <v>15800</v>
      </c>
      <c r="K469" s="21" t="s">
        <v>19</v>
      </c>
      <c r="L469" s="25">
        <v>0.125</v>
      </c>
      <c r="M469" s="25">
        <v>0.05</v>
      </c>
      <c r="N469" s="22"/>
      <c r="O469" s="23" t="s">
        <v>19</v>
      </c>
      <c r="P469" s="20">
        <f>(C469+(E469*F469*H469))-N469</f>
        <v>0</v>
      </c>
      <c r="Q469" s="23" t="s">
        <v>19</v>
      </c>
      <c r="R469" s="24">
        <f>P469*(J469-(J469*L469)-((J469-(J469*L469))*M469))</f>
        <v>0</v>
      </c>
      <c r="S469" s="24">
        <f t="shared" si="118"/>
        <v>0</v>
      </c>
      <c r="T469" s="24"/>
    </row>
    <row r="470" spans="1:20" s="19" customFormat="1">
      <c r="A470" s="18" t="s">
        <v>340</v>
      </c>
      <c r="B470" s="19" t="s">
        <v>18</v>
      </c>
      <c r="C470" s="20"/>
      <c r="D470" s="21" t="s">
        <v>19</v>
      </c>
      <c r="E470" s="26"/>
      <c r="F470" s="22">
        <v>1</v>
      </c>
      <c r="G470" s="23" t="s">
        <v>20</v>
      </c>
      <c r="H470" s="22">
        <v>72</v>
      </c>
      <c r="I470" s="23" t="s">
        <v>19</v>
      </c>
      <c r="J470" s="24">
        <v>20700</v>
      </c>
      <c r="K470" s="21" t="s">
        <v>19</v>
      </c>
      <c r="L470" s="25">
        <v>0.125</v>
      </c>
      <c r="M470" s="25">
        <v>0.05</v>
      </c>
      <c r="N470" s="22"/>
      <c r="O470" s="23" t="s">
        <v>19</v>
      </c>
      <c r="P470" s="20">
        <f>(C470+(E470*F470*H470))-N470</f>
        <v>0</v>
      </c>
      <c r="Q470" s="23" t="s">
        <v>19</v>
      </c>
      <c r="R470" s="24">
        <f>P470*(J470-(J470*L470)-((J470-(J470*L470))*M470))</f>
        <v>0</v>
      </c>
      <c r="S470" s="24">
        <f t="shared" si="118"/>
        <v>0</v>
      </c>
    </row>
    <row r="471" spans="1:20" s="19" customFormat="1">
      <c r="A471" s="18" t="s">
        <v>341</v>
      </c>
      <c r="B471" s="19" t="s">
        <v>18</v>
      </c>
      <c r="C471" s="20"/>
      <c r="D471" s="21" t="s">
        <v>19</v>
      </c>
      <c r="E471" s="26"/>
      <c r="F471" s="22">
        <v>1</v>
      </c>
      <c r="G471" s="23" t="s">
        <v>20</v>
      </c>
      <c r="H471" s="22">
        <v>72</v>
      </c>
      <c r="I471" s="23" t="s">
        <v>19</v>
      </c>
      <c r="J471" s="24">
        <v>20700</v>
      </c>
      <c r="K471" s="21" t="s">
        <v>19</v>
      </c>
      <c r="L471" s="25">
        <v>0.125</v>
      </c>
      <c r="M471" s="25">
        <v>0.05</v>
      </c>
      <c r="N471" s="22"/>
      <c r="O471" s="23" t="s">
        <v>19</v>
      </c>
      <c r="P471" s="20">
        <f>(C471+(E471*F471*H471))-N471</f>
        <v>0</v>
      </c>
      <c r="Q471" s="23" t="s">
        <v>19</v>
      </c>
      <c r="R471" s="24">
        <f>P471*(J471-(J471*L471)-((J471-(J471*L471))*M471))</f>
        <v>0</v>
      </c>
      <c r="S471" s="24">
        <f t="shared" si="118"/>
        <v>0</v>
      </c>
    </row>
    <row r="472" spans="1:20" s="19" customFormat="1">
      <c r="A472" s="18"/>
      <c r="C472" s="20"/>
      <c r="D472" s="21"/>
      <c r="E472" s="26"/>
      <c r="F472" s="22"/>
      <c r="G472" s="23"/>
      <c r="H472" s="22"/>
      <c r="I472" s="23"/>
      <c r="J472" s="24"/>
      <c r="K472" s="21"/>
      <c r="L472" s="25"/>
      <c r="M472" s="25"/>
      <c r="N472" s="22"/>
      <c r="O472" s="23"/>
      <c r="P472" s="20"/>
      <c r="Q472" s="23"/>
      <c r="R472" s="24"/>
      <c r="S472" s="24"/>
    </row>
    <row r="473" spans="1:20" s="19" customFormat="1">
      <c r="A473" s="18" t="s">
        <v>342</v>
      </c>
      <c r="B473" s="19" t="s">
        <v>25</v>
      </c>
      <c r="C473" s="20"/>
      <c r="D473" s="21" t="s">
        <v>19</v>
      </c>
      <c r="E473" s="26"/>
      <c r="F473" s="22">
        <v>1</v>
      </c>
      <c r="G473" s="23" t="s">
        <v>20</v>
      </c>
      <c r="H473" s="22">
        <v>72</v>
      </c>
      <c r="I473" s="23" t="s">
        <v>19</v>
      </c>
      <c r="J473" s="24">
        <f>1310400/72</f>
        <v>18200</v>
      </c>
      <c r="K473" s="21" t="s">
        <v>19</v>
      </c>
      <c r="L473" s="25"/>
      <c r="M473" s="25">
        <v>0.17</v>
      </c>
      <c r="N473" s="22"/>
      <c r="O473" s="23" t="s">
        <v>19</v>
      </c>
      <c r="P473" s="20">
        <f>(C473+(E473*F473*H473))-N473</f>
        <v>0</v>
      </c>
      <c r="Q473" s="23" t="s">
        <v>19</v>
      </c>
      <c r="R473" s="24">
        <f>P473*(J473-(J473*L473)-((J473-(J473*L473))*M473))</f>
        <v>0</v>
      </c>
      <c r="S473" s="24">
        <f t="shared" si="118"/>
        <v>0</v>
      </c>
    </row>
    <row r="474" spans="1:20" s="19" customFormat="1">
      <c r="A474" s="18" t="s">
        <v>343</v>
      </c>
      <c r="B474" s="19" t="s">
        <v>25</v>
      </c>
      <c r="C474" s="20"/>
      <c r="D474" s="21" t="s">
        <v>19</v>
      </c>
      <c r="E474" s="26"/>
      <c r="F474" s="22">
        <v>1</v>
      </c>
      <c r="G474" s="23" t="s">
        <v>20</v>
      </c>
      <c r="H474" s="22">
        <v>72</v>
      </c>
      <c r="I474" s="23" t="s">
        <v>19</v>
      </c>
      <c r="J474" s="24">
        <f>1512000/72</f>
        <v>21000</v>
      </c>
      <c r="K474" s="21" t="s">
        <v>19</v>
      </c>
      <c r="L474" s="25">
        <v>0.125</v>
      </c>
      <c r="M474" s="25">
        <v>0.05</v>
      </c>
      <c r="N474" s="22"/>
      <c r="O474" s="23" t="s">
        <v>19</v>
      </c>
      <c r="P474" s="20">
        <f>(C474+(E474*F474*H474))-N474</f>
        <v>0</v>
      </c>
      <c r="Q474" s="23" t="s">
        <v>19</v>
      </c>
      <c r="R474" s="24">
        <f>P474*(J474-(J474*L474)-((J474-(J474*L474))*M474))</f>
        <v>0</v>
      </c>
      <c r="S474" s="24">
        <f t="shared" si="118"/>
        <v>0</v>
      </c>
    </row>
    <row r="475" spans="1:20" s="19" customFormat="1">
      <c r="A475" s="18" t="s">
        <v>812</v>
      </c>
      <c r="B475" s="19" t="s">
        <v>25</v>
      </c>
      <c r="C475" s="20"/>
      <c r="D475" s="21" t="s">
        <v>19</v>
      </c>
      <c r="E475" s="26"/>
      <c r="F475" s="22">
        <v>1</v>
      </c>
      <c r="G475" s="23" t="s">
        <v>20</v>
      </c>
      <c r="H475" s="22">
        <v>72</v>
      </c>
      <c r="I475" s="23" t="s">
        <v>19</v>
      </c>
      <c r="J475" s="24">
        <f>1224000/72</f>
        <v>17000</v>
      </c>
      <c r="K475" s="21" t="s">
        <v>19</v>
      </c>
      <c r="L475" s="25"/>
      <c r="M475" s="25">
        <v>0.17</v>
      </c>
      <c r="N475" s="22"/>
      <c r="O475" s="23" t="s">
        <v>19</v>
      </c>
      <c r="P475" s="20">
        <f>(C475+(E475*F475*H475))-N475</f>
        <v>0</v>
      </c>
      <c r="Q475" s="23" t="s">
        <v>19</v>
      </c>
      <c r="R475" s="24">
        <f>P475*(J475-(J475*L475)-((J475-(J475*L475))*M475))</f>
        <v>0</v>
      </c>
      <c r="S475" s="24">
        <f t="shared" si="118"/>
        <v>0</v>
      </c>
    </row>
    <row r="476" spans="1:20" s="19" customFormat="1">
      <c r="A476" s="18" t="s">
        <v>344</v>
      </c>
      <c r="B476" s="19" t="s">
        <v>25</v>
      </c>
      <c r="C476" s="20"/>
      <c r="D476" s="21" t="s">
        <v>19</v>
      </c>
      <c r="E476" s="26"/>
      <c r="F476" s="22">
        <v>1</v>
      </c>
      <c r="G476" s="23" t="s">
        <v>20</v>
      </c>
      <c r="H476" s="22">
        <v>120</v>
      </c>
      <c r="I476" s="23" t="s">
        <v>19</v>
      </c>
      <c r="J476" s="24">
        <v>9000</v>
      </c>
      <c r="K476" s="21" t="s">
        <v>19</v>
      </c>
      <c r="L476" s="25"/>
      <c r="M476" s="25">
        <v>0.17</v>
      </c>
      <c r="N476" s="22"/>
      <c r="O476" s="23" t="s">
        <v>19</v>
      </c>
      <c r="P476" s="20">
        <f>(C476+(E476*F476*H476))-N476</f>
        <v>0</v>
      </c>
      <c r="Q476" s="23" t="s">
        <v>19</v>
      </c>
      <c r="R476" s="24">
        <f>P476*(J476-(J476*L476)-((J476-(J476*L476))*M476))</f>
        <v>0</v>
      </c>
      <c r="S476" s="24">
        <f t="shared" si="118"/>
        <v>0</v>
      </c>
    </row>
    <row r="477" spans="1:20" s="19" customFormat="1">
      <c r="A477" s="18"/>
      <c r="C477" s="20"/>
      <c r="D477" s="21"/>
      <c r="E477" s="26"/>
      <c r="F477" s="22"/>
      <c r="G477" s="23"/>
      <c r="H477" s="22"/>
      <c r="I477" s="23"/>
      <c r="J477" s="24"/>
      <c r="K477" s="21"/>
      <c r="L477" s="25"/>
      <c r="M477" s="25"/>
      <c r="N477" s="22"/>
      <c r="O477" s="23"/>
      <c r="P477" s="20"/>
      <c r="Q477" s="23"/>
      <c r="R477" s="24"/>
      <c r="S477" s="24"/>
    </row>
    <row r="478" spans="1:20" s="19" customFormat="1">
      <c r="A478" s="88" t="s">
        <v>345</v>
      </c>
      <c r="C478" s="20"/>
      <c r="D478" s="21"/>
      <c r="E478" s="26"/>
      <c r="F478" s="22"/>
      <c r="G478" s="23"/>
      <c r="H478" s="22"/>
      <c r="I478" s="23"/>
      <c r="J478" s="24"/>
      <c r="K478" s="21"/>
      <c r="L478" s="25"/>
      <c r="M478" s="25"/>
      <c r="N478" s="22"/>
      <c r="O478" s="23"/>
      <c r="P478" s="20"/>
      <c r="Q478" s="23"/>
      <c r="R478" s="24"/>
      <c r="S478" s="24"/>
    </row>
    <row r="479" spans="1:20" s="19" customFormat="1">
      <c r="A479" s="18" t="s">
        <v>346</v>
      </c>
      <c r="B479" s="19" t="s">
        <v>18</v>
      </c>
      <c r="C479" s="20"/>
      <c r="D479" s="21" t="s">
        <v>19</v>
      </c>
      <c r="E479" s="26"/>
      <c r="F479" s="22">
        <v>2</v>
      </c>
      <c r="G479" s="23" t="s">
        <v>33</v>
      </c>
      <c r="H479" s="22">
        <v>24</v>
      </c>
      <c r="I479" s="23" t="s">
        <v>19</v>
      </c>
      <c r="J479" s="24">
        <v>9200</v>
      </c>
      <c r="K479" s="21" t="s">
        <v>19</v>
      </c>
      <c r="L479" s="25">
        <v>0.125</v>
      </c>
      <c r="M479" s="25">
        <v>0.05</v>
      </c>
      <c r="N479" s="22"/>
      <c r="O479" s="23" t="s">
        <v>19</v>
      </c>
      <c r="P479" s="20">
        <f>(C479+(E479*F479*H479))-N479</f>
        <v>0</v>
      </c>
      <c r="Q479" s="23" t="s">
        <v>19</v>
      </c>
      <c r="R479" s="24">
        <f>P479*(J479-(J479*L479)-((J479-(J479*L479))*M479))</f>
        <v>0</v>
      </c>
      <c r="S479" s="24">
        <f t="shared" si="118"/>
        <v>0</v>
      </c>
    </row>
    <row r="480" spans="1:20" s="19" customFormat="1">
      <c r="A480" s="18" t="s">
        <v>761</v>
      </c>
      <c r="B480" s="19" t="s">
        <v>18</v>
      </c>
      <c r="C480" s="20"/>
      <c r="D480" s="21" t="s">
        <v>19</v>
      </c>
      <c r="E480" s="26"/>
      <c r="F480" s="22">
        <v>4</v>
      </c>
      <c r="G480" s="23" t="s">
        <v>33</v>
      </c>
      <c r="H480" s="22">
        <v>24</v>
      </c>
      <c r="I480" s="23" t="s">
        <v>19</v>
      </c>
      <c r="J480" s="24">
        <v>6300</v>
      </c>
      <c r="K480" s="21" t="s">
        <v>19</v>
      </c>
      <c r="L480" s="25">
        <v>0.125</v>
      </c>
      <c r="M480" s="25">
        <v>0.05</v>
      </c>
      <c r="N480" s="22"/>
      <c r="O480" s="23" t="s">
        <v>19</v>
      </c>
      <c r="P480" s="20">
        <f>(C480+(E480*F480*H480))-N480</f>
        <v>0</v>
      </c>
      <c r="Q480" s="23" t="s">
        <v>19</v>
      </c>
      <c r="R480" s="24">
        <f>P480*(J480-(J480*L480)-((J480-(J480*L480))*M480))</f>
        <v>0</v>
      </c>
      <c r="S480" s="24">
        <f t="shared" si="118"/>
        <v>0</v>
      </c>
    </row>
    <row r="481" spans="1:20" s="19" customFormat="1">
      <c r="A481" s="18"/>
      <c r="C481" s="20"/>
      <c r="D481" s="21"/>
      <c r="E481" s="26"/>
      <c r="F481" s="22"/>
      <c r="G481" s="23"/>
      <c r="H481" s="22"/>
      <c r="I481" s="23"/>
      <c r="J481" s="24"/>
      <c r="K481" s="21"/>
      <c r="L481" s="25"/>
      <c r="M481" s="25"/>
      <c r="N481" s="22"/>
      <c r="O481" s="23"/>
      <c r="P481" s="20"/>
      <c r="Q481" s="23"/>
      <c r="R481" s="24"/>
      <c r="S481" s="24"/>
    </row>
    <row r="482" spans="1:20" s="19" customFormat="1">
      <c r="A482" s="18" t="s">
        <v>347</v>
      </c>
      <c r="B482" s="19" t="s">
        <v>25</v>
      </c>
      <c r="C482" s="20"/>
      <c r="D482" s="21" t="s">
        <v>41</v>
      </c>
      <c r="E482" s="26">
        <v>1</v>
      </c>
      <c r="F482" s="22">
        <v>1</v>
      </c>
      <c r="G482" s="23" t="s">
        <v>20</v>
      </c>
      <c r="H482" s="22">
        <v>12</v>
      </c>
      <c r="I482" s="23" t="s">
        <v>41</v>
      </c>
      <c r="J482" s="24">
        <f>741600/12</f>
        <v>61800</v>
      </c>
      <c r="K482" s="21" t="s">
        <v>41</v>
      </c>
      <c r="L482" s="25"/>
      <c r="M482" s="25">
        <v>0.17</v>
      </c>
      <c r="N482" s="22"/>
      <c r="O482" s="23" t="s">
        <v>41</v>
      </c>
      <c r="P482" s="20">
        <f>(C482+(E482*F482*H482))-N482</f>
        <v>12</v>
      </c>
      <c r="Q482" s="23" t="s">
        <v>41</v>
      </c>
      <c r="R482" s="24">
        <f>P482*(J482-(J482*L482)-((J482-(J482*L482))*M482))</f>
        <v>615528</v>
      </c>
      <c r="S482" s="24">
        <f t="shared" si="118"/>
        <v>554529.7297297297</v>
      </c>
    </row>
    <row r="483" spans="1:20" s="19" customFormat="1">
      <c r="A483" s="18" t="s">
        <v>348</v>
      </c>
      <c r="B483" s="19" t="s">
        <v>25</v>
      </c>
      <c r="C483" s="20"/>
      <c r="D483" s="21" t="s">
        <v>41</v>
      </c>
      <c r="E483" s="26">
        <v>1</v>
      </c>
      <c r="F483" s="22">
        <v>1</v>
      </c>
      <c r="G483" s="23" t="s">
        <v>20</v>
      </c>
      <c r="H483" s="22">
        <v>20</v>
      </c>
      <c r="I483" s="23" t="s">
        <v>41</v>
      </c>
      <c r="J483" s="24">
        <f>804000/20</f>
        <v>40200</v>
      </c>
      <c r="K483" s="21" t="s">
        <v>41</v>
      </c>
      <c r="L483" s="25"/>
      <c r="M483" s="25">
        <v>0.17</v>
      </c>
      <c r="N483" s="22"/>
      <c r="O483" s="23" t="s">
        <v>41</v>
      </c>
      <c r="P483" s="20">
        <f>(C483+(E483*F483*H483))-N483</f>
        <v>20</v>
      </c>
      <c r="Q483" s="23" t="s">
        <v>41</v>
      </c>
      <c r="R483" s="24">
        <f>P483*(J483-(J483*L483)-((J483-(J483*L483))*M483))</f>
        <v>667320</v>
      </c>
      <c r="S483" s="24">
        <f t="shared" si="118"/>
        <v>601189.18918918911</v>
      </c>
    </row>
    <row r="484" spans="1:20" s="19" customFormat="1">
      <c r="A484" s="18" t="s">
        <v>349</v>
      </c>
      <c r="B484" s="19" t="s">
        <v>25</v>
      </c>
      <c r="C484" s="20"/>
      <c r="D484" s="21" t="s">
        <v>41</v>
      </c>
      <c r="E484" s="26"/>
      <c r="F484" s="22">
        <v>1</v>
      </c>
      <c r="G484" s="23" t="s">
        <v>20</v>
      </c>
      <c r="H484" s="22">
        <v>6</v>
      </c>
      <c r="I484" s="23" t="s">
        <v>41</v>
      </c>
      <c r="J484" s="24">
        <f>810000/6</f>
        <v>135000</v>
      </c>
      <c r="K484" s="21" t="s">
        <v>41</v>
      </c>
      <c r="L484" s="25"/>
      <c r="M484" s="25">
        <v>0.17</v>
      </c>
      <c r="N484" s="22"/>
      <c r="O484" s="23" t="s">
        <v>41</v>
      </c>
      <c r="P484" s="20">
        <f>(C484+(E484*F484*H484))-N484</f>
        <v>0</v>
      </c>
      <c r="Q484" s="23" t="s">
        <v>41</v>
      </c>
      <c r="R484" s="24">
        <f>P484*(J484-(J484*L484)-((J484-(J484*L484))*M484))</f>
        <v>0</v>
      </c>
      <c r="S484" s="24">
        <f t="shared" si="118"/>
        <v>0</v>
      </c>
    </row>
    <row r="485" spans="1:20" s="19" customFormat="1">
      <c r="A485" s="18"/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20" s="19" customFormat="1">
      <c r="A486" s="88" t="s">
        <v>350</v>
      </c>
      <c r="C486" s="20"/>
      <c r="D486" s="21"/>
      <c r="E486" s="26"/>
      <c r="F486" s="22"/>
      <c r="G486" s="23"/>
      <c r="H486" s="22"/>
      <c r="I486" s="23"/>
      <c r="J486" s="24"/>
      <c r="K486" s="21"/>
      <c r="L486" s="90"/>
      <c r="M486" s="90"/>
      <c r="N486" s="22"/>
      <c r="O486" s="23"/>
      <c r="P486" s="20"/>
      <c r="Q486" s="23"/>
      <c r="R486" s="24"/>
      <c r="S486" s="24"/>
    </row>
    <row r="487" spans="1:20" s="19" customFormat="1">
      <c r="A487" s="18" t="s">
        <v>351</v>
      </c>
      <c r="B487" s="19" t="s">
        <v>18</v>
      </c>
      <c r="C487" s="20"/>
      <c r="D487" s="21" t="s">
        <v>157</v>
      </c>
      <c r="E487" s="26"/>
      <c r="F487" s="22">
        <v>36</v>
      </c>
      <c r="G487" s="23" t="s">
        <v>33</v>
      </c>
      <c r="H487" s="22">
        <v>30</v>
      </c>
      <c r="I487" s="23" t="s">
        <v>157</v>
      </c>
      <c r="J487" s="24">
        <v>3200</v>
      </c>
      <c r="K487" s="21" t="s">
        <v>157</v>
      </c>
      <c r="L487" s="25">
        <v>0.125</v>
      </c>
      <c r="M487" s="25">
        <v>0.05</v>
      </c>
      <c r="N487" s="22"/>
      <c r="O487" s="23" t="s">
        <v>157</v>
      </c>
      <c r="P487" s="20">
        <f>(C487+(E487*F487*H487))-N487</f>
        <v>0</v>
      </c>
      <c r="Q487" s="23" t="s">
        <v>157</v>
      </c>
      <c r="R487" s="24">
        <f>P487*(J487-(J487*L487)-((J487-(J487*L487))*M487))</f>
        <v>0</v>
      </c>
      <c r="S487" s="24">
        <f t="shared" si="118"/>
        <v>0</v>
      </c>
      <c r="T487" s="24"/>
    </row>
    <row r="488" spans="1:20" s="19" customFormat="1">
      <c r="A488" s="18" t="s">
        <v>352</v>
      </c>
      <c r="B488" s="19" t="s">
        <v>18</v>
      </c>
      <c r="C488" s="20"/>
      <c r="D488" s="21" t="s">
        <v>157</v>
      </c>
      <c r="E488" s="26"/>
      <c r="F488" s="22">
        <v>36</v>
      </c>
      <c r="G488" s="23" t="s">
        <v>33</v>
      </c>
      <c r="H488" s="22">
        <v>30</v>
      </c>
      <c r="I488" s="23" t="s">
        <v>157</v>
      </c>
      <c r="J488" s="24">
        <v>2900</v>
      </c>
      <c r="K488" s="21" t="s">
        <v>157</v>
      </c>
      <c r="L488" s="25">
        <v>0.125</v>
      </c>
      <c r="M488" s="25">
        <v>0.05</v>
      </c>
      <c r="N488" s="22"/>
      <c r="O488" s="23" t="s">
        <v>157</v>
      </c>
      <c r="P488" s="20">
        <f>(C488+(E488*F488*H488))-N488</f>
        <v>0</v>
      </c>
      <c r="Q488" s="23" t="s">
        <v>157</v>
      </c>
      <c r="R488" s="24">
        <f>P488*(J488-(J488*L488)-((J488-(J488*L488))*M488))</f>
        <v>0</v>
      </c>
      <c r="S488" s="24">
        <f t="shared" si="118"/>
        <v>0</v>
      </c>
      <c r="T488" s="24"/>
    </row>
    <row r="489" spans="1:20" s="19" customFormat="1">
      <c r="A489" s="18"/>
      <c r="C489" s="20"/>
      <c r="D489" s="21"/>
      <c r="E489" s="26"/>
      <c r="F489" s="22"/>
      <c r="G489" s="23"/>
      <c r="H489" s="22"/>
      <c r="I489" s="23"/>
      <c r="J489" s="24"/>
      <c r="K489" s="21"/>
      <c r="L489" s="25"/>
      <c r="M489" s="25"/>
      <c r="N489" s="22"/>
      <c r="O489" s="23"/>
      <c r="P489" s="20"/>
      <c r="Q489" s="23"/>
      <c r="R489" s="24"/>
      <c r="S489" s="24"/>
    </row>
    <row r="490" spans="1:20" s="19" customFormat="1" ht="15.75">
      <c r="A490" s="44" t="s">
        <v>353</v>
      </c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20" s="19" customFormat="1">
      <c r="A491" s="59" t="s">
        <v>356</v>
      </c>
      <c r="B491" s="19" t="s">
        <v>18</v>
      </c>
      <c r="C491" s="20"/>
      <c r="D491" s="21" t="s">
        <v>100</v>
      </c>
      <c r="E491" s="26"/>
      <c r="F491" s="22">
        <v>1</v>
      </c>
      <c r="G491" s="23" t="s">
        <v>20</v>
      </c>
      <c r="H491" s="22">
        <v>100</v>
      </c>
      <c r="I491" s="23" t="s">
        <v>100</v>
      </c>
      <c r="J491" s="24">
        <v>7800</v>
      </c>
      <c r="K491" s="21" t="s">
        <v>100</v>
      </c>
      <c r="L491" s="25">
        <v>0.125</v>
      </c>
      <c r="M491" s="25">
        <v>0.05</v>
      </c>
      <c r="N491" s="22"/>
      <c r="O491" s="23" t="s">
        <v>100</v>
      </c>
      <c r="P491" s="20">
        <f>(C491+(E491*F491*H491))-N491</f>
        <v>0</v>
      </c>
      <c r="Q491" s="23" t="s">
        <v>100</v>
      </c>
      <c r="R491" s="24">
        <f>P491*(J491-(J491*L491)-((J491-(J491*L491))*M491))</f>
        <v>0</v>
      </c>
      <c r="S491" s="24">
        <f>R491/1.11</f>
        <v>0</v>
      </c>
      <c r="T491" s="24"/>
    </row>
    <row r="492" spans="1:20" s="19" customFormat="1">
      <c r="A492" s="59" t="s">
        <v>357</v>
      </c>
      <c r="B492" s="19" t="s">
        <v>18</v>
      </c>
      <c r="C492" s="20"/>
      <c r="D492" s="21" t="s">
        <v>100</v>
      </c>
      <c r="E492" s="26"/>
      <c r="F492" s="22">
        <v>1</v>
      </c>
      <c r="G492" s="23" t="s">
        <v>20</v>
      </c>
      <c r="H492" s="22">
        <v>100</v>
      </c>
      <c r="I492" s="23" t="s">
        <v>100</v>
      </c>
      <c r="J492" s="24">
        <v>7800</v>
      </c>
      <c r="K492" s="21" t="s">
        <v>100</v>
      </c>
      <c r="L492" s="25">
        <v>0.125</v>
      </c>
      <c r="M492" s="25">
        <v>0.05</v>
      </c>
      <c r="N492" s="22"/>
      <c r="O492" s="23" t="s">
        <v>100</v>
      </c>
      <c r="P492" s="20">
        <f>(C492+(E492*F492*H492))-N492</f>
        <v>0</v>
      </c>
      <c r="Q492" s="23" t="s">
        <v>100</v>
      </c>
      <c r="R492" s="24">
        <f>P492*(J492-(J492*L492)-((J492-(J492*L492))*M492))</f>
        <v>0</v>
      </c>
      <c r="S492" s="24">
        <f>R492/1.11</f>
        <v>0</v>
      </c>
      <c r="T492" s="24"/>
    </row>
    <row r="493" spans="1:20" s="19" customFormat="1">
      <c r="A493" s="59"/>
      <c r="C493" s="20"/>
      <c r="D493" s="21"/>
      <c r="E493" s="26"/>
      <c r="F493" s="22"/>
      <c r="G493" s="23"/>
      <c r="H493" s="22"/>
      <c r="I493" s="23"/>
      <c r="J493" s="24"/>
      <c r="K493" s="21"/>
      <c r="L493" s="25"/>
      <c r="M493" s="25"/>
      <c r="N493" s="22"/>
      <c r="O493" s="23"/>
      <c r="P493" s="20"/>
      <c r="Q493" s="23"/>
      <c r="R493" s="24"/>
      <c r="S493" s="24"/>
      <c r="T493" s="24"/>
    </row>
    <row r="494" spans="1:20" s="19" customFormat="1">
      <c r="A494" s="59" t="s">
        <v>354</v>
      </c>
      <c r="B494" s="19" t="s">
        <v>25</v>
      </c>
      <c r="C494" s="20"/>
      <c r="D494" s="21" t="s">
        <v>33</v>
      </c>
      <c r="E494" s="26"/>
      <c r="F494" s="22">
        <v>10</v>
      </c>
      <c r="G494" s="23" t="s">
        <v>100</v>
      </c>
      <c r="H494" s="22">
        <v>10</v>
      </c>
      <c r="I494" s="23" t="s">
        <v>33</v>
      </c>
      <c r="J494" s="24">
        <f>980000/100</f>
        <v>9800</v>
      </c>
      <c r="K494" s="21" t="s">
        <v>33</v>
      </c>
      <c r="L494" s="25"/>
      <c r="M494" s="25">
        <v>0.17</v>
      </c>
      <c r="N494" s="22"/>
      <c r="O494" s="23" t="s">
        <v>33</v>
      </c>
      <c r="P494" s="20">
        <f>(C494+(E494*F494*H494))-N494</f>
        <v>0</v>
      </c>
      <c r="Q494" s="23" t="s">
        <v>33</v>
      </c>
      <c r="R494" s="24">
        <f>P494*(J494-(J494*L494)-((J494-(J494*L494))*M494))</f>
        <v>0</v>
      </c>
      <c r="S494" s="24">
        <f t="shared" si="118"/>
        <v>0</v>
      </c>
    </row>
    <row r="495" spans="1:20" s="19" customFormat="1">
      <c r="A495" s="59" t="s">
        <v>355</v>
      </c>
      <c r="B495" s="19" t="s">
        <v>25</v>
      </c>
      <c r="C495" s="20"/>
      <c r="D495" s="21" t="s">
        <v>33</v>
      </c>
      <c r="E495" s="26"/>
      <c r="F495" s="22">
        <v>10</v>
      </c>
      <c r="G495" s="23" t="s">
        <v>100</v>
      </c>
      <c r="H495" s="22">
        <v>10</v>
      </c>
      <c r="I495" s="23" t="s">
        <v>33</v>
      </c>
      <c r="J495" s="24">
        <f>980000/100</f>
        <v>9800</v>
      </c>
      <c r="K495" s="21" t="s">
        <v>33</v>
      </c>
      <c r="L495" s="25"/>
      <c r="M495" s="25">
        <v>0.17</v>
      </c>
      <c r="N495" s="22"/>
      <c r="O495" s="23" t="s">
        <v>33</v>
      </c>
      <c r="P495" s="20">
        <f>(C495+(E495*F495*H495))-N495</f>
        <v>0</v>
      </c>
      <c r="Q495" s="23" t="s">
        <v>33</v>
      </c>
      <c r="R495" s="24">
        <f>P495*(J495-(J495*L495)-((J495-(J495*L495))*M495))</f>
        <v>0</v>
      </c>
      <c r="S495" s="24">
        <f t="shared" si="118"/>
        <v>0</v>
      </c>
    </row>
    <row r="496" spans="1:20" s="19" customFormat="1">
      <c r="A496" s="18"/>
      <c r="C496" s="20"/>
      <c r="D496" s="21"/>
      <c r="E496" s="26"/>
      <c r="F496" s="22"/>
      <c r="G496" s="23"/>
      <c r="H496" s="22"/>
      <c r="I496" s="23"/>
      <c r="J496" s="24"/>
      <c r="K496" s="21"/>
      <c r="L496" s="25"/>
      <c r="M496" s="25"/>
      <c r="N496" s="22"/>
      <c r="O496" s="23"/>
      <c r="P496" s="20"/>
      <c r="Q496" s="23"/>
      <c r="R496" s="24"/>
      <c r="S496" s="24"/>
    </row>
    <row r="497" spans="1:19" s="19" customFormat="1" ht="15.75">
      <c r="A497" s="44" t="s">
        <v>358</v>
      </c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19" customFormat="1">
      <c r="A498" s="88" t="s">
        <v>359</v>
      </c>
      <c r="C498" s="20"/>
      <c r="D498" s="21"/>
      <c r="E498" s="26"/>
      <c r="F498" s="22"/>
      <c r="G498" s="23"/>
      <c r="H498" s="22"/>
      <c r="I498" s="23"/>
      <c r="J498" s="24"/>
      <c r="K498" s="21"/>
      <c r="L498" s="25"/>
      <c r="M498" s="25"/>
      <c r="N498" s="22"/>
      <c r="O498" s="23"/>
      <c r="P498" s="20"/>
      <c r="Q498" s="23"/>
      <c r="R498" s="24"/>
      <c r="S498" s="24"/>
    </row>
    <row r="499" spans="1:19" s="19" customFormat="1">
      <c r="A499" s="18" t="s">
        <v>360</v>
      </c>
      <c r="B499" s="19" t="s">
        <v>18</v>
      </c>
      <c r="C499" s="20"/>
      <c r="D499" s="21" t="s">
        <v>41</v>
      </c>
      <c r="E499" s="26"/>
      <c r="F499" s="22">
        <v>1</v>
      </c>
      <c r="G499" s="23" t="s">
        <v>20</v>
      </c>
      <c r="H499" s="22">
        <v>144</v>
      </c>
      <c r="I499" s="23" t="s">
        <v>41</v>
      </c>
      <c r="J499" s="24">
        <v>28200</v>
      </c>
      <c r="K499" s="21" t="s">
        <v>41</v>
      </c>
      <c r="L499" s="25">
        <v>0.125</v>
      </c>
      <c r="M499" s="25">
        <v>0.05</v>
      </c>
      <c r="N499" s="22"/>
      <c r="O499" s="23" t="s">
        <v>41</v>
      </c>
      <c r="P499" s="20">
        <f t="shared" ref="P499:P508" si="120">(C499+(E499*F499*H499))-N499</f>
        <v>0</v>
      </c>
      <c r="Q499" s="23" t="s">
        <v>41</v>
      </c>
      <c r="R499" s="24">
        <f t="shared" ref="R499:R507" si="121">P499*(J499-(J499*L499)-((J499-(J499*L499))*M499))</f>
        <v>0</v>
      </c>
      <c r="S499" s="24">
        <f t="shared" si="118"/>
        <v>0</v>
      </c>
    </row>
    <row r="500" spans="1:19" s="19" customFormat="1">
      <c r="A500" s="18" t="s">
        <v>361</v>
      </c>
      <c r="B500" s="19" t="s">
        <v>18</v>
      </c>
      <c r="C500" s="20"/>
      <c r="D500" s="21" t="s">
        <v>41</v>
      </c>
      <c r="E500" s="26"/>
      <c r="F500" s="22">
        <v>1</v>
      </c>
      <c r="G500" s="23" t="s">
        <v>20</v>
      </c>
      <c r="H500" s="22">
        <v>144</v>
      </c>
      <c r="I500" s="23" t="s">
        <v>41</v>
      </c>
      <c r="J500" s="24">
        <v>7800</v>
      </c>
      <c r="K500" s="21" t="s">
        <v>41</v>
      </c>
      <c r="L500" s="25">
        <v>0.1</v>
      </c>
      <c r="M500" s="25">
        <v>0.05</v>
      </c>
      <c r="N500" s="22"/>
      <c r="O500" s="23" t="s">
        <v>41</v>
      </c>
      <c r="P500" s="20">
        <f t="shared" si="120"/>
        <v>0</v>
      </c>
      <c r="Q500" s="23" t="s">
        <v>41</v>
      </c>
      <c r="R500" s="24">
        <f t="shared" si="121"/>
        <v>0</v>
      </c>
      <c r="S500" s="24">
        <f t="shared" si="118"/>
        <v>0</v>
      </c>
    </row>
    <row r="501" spans="1:19" s="19" customFormat="1">
      <c r="A501" s="18" t="s">
        <v>362</v>
      </c>
      <c r="B501" s="19" t="s">
        <v>18</v>
      </c>
      <c r="C501" s="20"/>
      <c r="D501" s="21" t="s">
        <v>41</v>
      </c>
      <c r="E501" s="26"/>
      <c r="F501" s="22">
        <v>1</v>
      </c>
      <c r="G501" s="23" t="s">
        <v>20</v>
      </c>
      <c r="H501" s="22">
        <v>144</v>
      </c>
      <c r="I501" s="23" t="s">
        <v>41</v>
      </c>
      <c r="J501" s="24">
        <v>6900</v>
      </c>
      <c r="K501" s="21" t="s">
        <v>41</v>
      </c>
      <c r="L501" s="25">
        <v>0.125</v>
      </c>
      <c r="M501" s="25">
        <v>0.05</v>
      </c>
      <c r="N501" s="22"/>
      <c r="O501" s="23" t="s">
        <v>41</v>
      </c>
      <c r="P501" s="20">
        <f t="shared" si="120"/>
        <v>0</v>
      </c>
      <c r="Q501" s="23" t="s">
        <v>41</v>
      </c>
      <c r="R501" s="24">
        <f t="shared" si="121"/>
        <v>0</v>
      </c>
      <c r="S501" s="24">
        <f t="shared" si="118"/>
        <v>0</v>
      </c>
    </row>
    <row r="502" spans="1:19" s="19" customFormat="1">
      <c r="A502" s="18" t="s">
        <v>783</v>
      </c>
      <c r="B502" s="19" t="s">
        <v>18</v>
      </c>
      <c r="C502" s="20"/>
      <c r="D502" s="21" t="s">
        <v>41</v>
      </c>
      <c r="E502" s="26"/>
      <c r="F502" s="22">
        <v>1</v>
      </c>
      <c r="G502" s="23" t="s">
        <v>20</v>
      </c>
      <c r="H502" s="22">
        <v>144</v>
      </c>
      <c r="I502" s="23" t="s">
        <v>41</v>
      </c>
      <c r="J502" s="24">
        <v>7020</v>
      </c>
      <c r="K502" s="21" t="s">
        <v>41</v>
      </c>
      <c r="L502" s="25">
        <v>0.125</v>
      </c>
      <c r="M502" s="25">
        <v>0.05</v>
      </c>
      <c r="N502" s="22"/>
      <c r="O502" s="23" t="s">
        <v>41</v>
      </c>
      <c r="P502" s="20">
        <f t="shared" si="120"/>
        <v>0</v>
      </c>
      <c r="Q502" s="23" t="s">
        <v>41</v>
      </c>
      <c r="R502" s="24">
        <f t="shared" si="121"/>
        <v>0</v>
      </c>
      <c r="S502" s="24">
        <f t="shared" si="118"/>
        <v>0</v>
      </c>
    </row>
    <row r="503" spans="1:19" s="19" customFormat="1">
      <c r="A503" s="18" t="s">
        <v>363</v>
      </c>
      <c r="B503" s="19" t="s">
        <v>18</v>
      </c>
      <c r="C503" s="20"/>
      <c r="D503" s="21" t="s">
        <v>41</v>
      </c>
      <c r="E503" s="26"/>
      <c r="F503" s="22">
        <v>1</v>
      </c>
      <c r="G503" s="23" t="s">
        <v>20</v>
      </c>
      <c r="H503" s="22">
        <v>144</v>
      </c>
      <c r="I503" s="23" t="s">
        <v>41</v>
      </c>
      <c r="J503" s="24">
        <v>7020</v>
      </c>
      <c r="K503" s="21" t="s">
        <v>41</v>
      </c>
      <c r="L503" s="25">
        <v>0.125</v>
      </c>
      <c r="M503" s="25">
        <v>0.05</v>
      </c>
      <c r="N503" s="22"/>
      <c r="O503" s="23" t="s">
        <v>41</v>
      </c>
      <c r="P503" s="20">
        <f t="shared" si="120"/>
        <v>0</v>
      </c>
      <c r="Q503" s="23" t="s">
        <v>41</v>
      </c>
      <c r="R503" s="24">
        <f t="shared" si="121"/>
        <v>0</v>
      </c>
      <c r="S503" s="24">
        <f t="shared" si="118"/>
        <v>0</v>
      </c>
    </row>
    <row r="504" spans="1:19" s="19" customFormat="1">
      <c r="A504" s="18" t="s">
        <v>749</v>
      </c>
      <c r="B504" s="19" t="s">
        <v>18</v>
      </c>
      <c r="C504" s="20"/>
      <c r="D504" s="21" t="s">
        <v>41</v>
      </c>
      <c r="E504" s="26"/>
      <c r="F504" s="22">
        <v>1</v>
      </c>
      <c r="G504" s="23" t="s">
        <v>20</v>
      </c>
      <c r="H504" s="22">
        <v>144</v>
      </c>
      <c r="I504" s="23" t="s">
        <v>41</v>
      </c>
      <c r="J504" s="24">
        <v>6600</v>
      </c>
      <c r="K504" s="21" t="s">
        <v>41</v>
      </c>
      <c r="L504" s="25">
        <v>0.125</v>
      </c>
      <c r="M504" s="25">
        <v>0.05</v>
      </c>
      <c r="N504" s="22"/>
      <c r="O504" s="23" t="s">
        <v>41</v>
      </c>
      <c r="P504" s="20">
        <f t="shared" si="120"/>
        <v>0</v>
      </c>
      <c r="Q504" s="23" t="s">
        <v>41</v>
      </c>
      <c r="R504" s="24">
        <f t="shared" si="121"/>
        <v>0</v>
      </c>
      <c r="S504" s="24">
        <f t="shared" si="118"/>
        <v>0</v>
      </c>
    </row>
    <row r="505" spans="1:19" s="19" customFormat="1">
      <c r="A505" s="18" t="s">
        <v>656</v>
      </c>
      <c r="B505" s="19" t="s">
        <v>18</v>
      </c>
      <c r="C505" s="20"/>
      <c r="D505" s="21" t="s">
        <v>41</v>
      </c>
      <c r="E505" s="26"/>
      <c r="F505" s="22">
        <v>1</v>
      </c>
      <c r="G505" s="23" t="s">
        <v>20</v>
      </c>
      <c r="H505" s="22">
        <v>144</v>
      </c>
      <c r="I505" s="23" t="s">
        <v>41</v>
      </c>
      <c r="J505" s="24">
        <v>6000</v>
      </c>
      <c r="K505" s="21" t="s">
        <v>41</v>
      </c>
      <c r="L505" s="25">
        <v>0.125</v>
      </c>
      <c r="M505" s="25">
        <v>0.05</v>
      </c>
      <c r="N505" s="22"/>
      <c r="O505" s="23" t="s">
        <v>41</v>
      </c>
      <c r="P505" s="20">
        <f t="shared" si="120"/>
        <v>0</v>
      </c>
      <c r="Q505" s="23" t="s">
        <v>41</v>
      </c>
      <c r="R505" s="24">
        <f t="shared" si="121"/>
        <v>0</v>
      </c>
      <c r="S505" s="24">
        <f t="shared" si="118"/>
        <v>0</v>
      </c>
    </row>
    <row r="506" spans="1:19" s="19" customFormat="1">
      <c r="A506" s="18" t="s">
        <v>702</v>
      </c>
      <c r="B506" s="19" t="s">
        <v>18</v>
      </c>
      <c r="C506" s="20"/>
      <c r="D506" s="21" t="s">
        <v>41</v>
      </c>
      <c r="E506" s="26"/>
      <c r="F506" s="22">
        <v>1</v>
      </c>
      <c r="G506" s="23" t="s">
        <v>20</v>
      </c>
      <c r="H506" s="22">
        <v>144</v>
      </c>
      <c r="I506" s="23" t="s">
        <v>41</v>
      </c>
      <c r="J506" s="24">
        <v>6000</v>
      </c>
      <c r="K506" s="21" t="s">
        <v>41</v>
      </c>
      <c r="L506" s="25">
        <v>0.125</v>
      </c>
      <c r="M506" s="25">
        <v>0.05</v>
      </c>
      <c r="N506" s="22"/>
      <c r="O506" s="23" t="s">
        <v>41</v>
      </c>
      <c r="P506" s="20">
        <f t="shared" si="120"/>
        <v>0</v>
      </c>
      <c r="Q506" s="23" t="s">
        <v>41</v>
      </c>
      <c r="R506" s="24">
        <f t="shared" si="121"/>
        <v>0</v>
      </c>
      <c r="S506" s="24">
        <f t="shared" si="118"/>
        <v>0</v>
      </c>
    </row>
    <row r="507" spans="1:19" s="19" customFormat="1">
      <c r="A507" s="18" t="s">
        <v>364</v>
      </c>
      <c r="B507" s="19" t="s">
        <v>18</v>
      </c>
      <c r="C507" s="20"/>
      <c r="D507" s="21" t="s">
        <v>41</v>
      </c>
      <c r="E507" s="26"/>
      <c r="F507" s="22">
        <v>1</v>
      </c>
      <c r="G507" s="23" t="s">
        <v>20</v>
      </c>
      <c r="H507" s="22">
        <v>144</v>
      </c>
      <c r="I507" s="23" t="s">
        <v>41</v>
      </c>
      <c r="J507" s="24">
        <v>5100</v>
      </c>
      <c r="K507" s="21" t="s">
        <v>41</v>
      </c>
      <c r="L507" s="25">
        <v>0.125</v>
      </c>
      <c r="M507" s="25">
        <v>0.05</v>
      </c>
      <c r="N507" s="22"/>
      <c r="O507" s="23" t="s">
        <v>41</v>
      </c>
      <c r="P507" s="20">
        <f t="shared" si="120"/>
        <v>0</v>
      </c>
      <c r="Q507" s="23" t="s">
        <v>41</v>
      </c>
      <c r="R507" s="24">
        <f t="shared" si="121"/>
        <v>0</v>
      </c>
      <c r="S507" s="24">
        <f t="shared" si="118"/>
        <v>0</v>
      </c>
    </row>
    <row r="508" spans="1:19" s="19" customFormat="1">
      <c r="A508" s="91" t="s">
        <v>365</v>
      </c>
      <c r="B508" s="19" t="s">
        <v>18</v>
      </c>
      <c r="C508" s="69">
        <v>36</v>
      </c>
      <c r="D508" s="21" t="s">
        <v>41</v>
      </c>
      <c r="E508" s="26"/>
      <c r="F508" s="22">
        <v>1</v>
      </c>
      <c r="G508" s="23" t="s">
        <v>20</v>
      </c>
      <c r="H508" s="22">
        <v>144</v>
      </c>
      <c r="I508" s="23" t="s">
        <v>41</v>
      </c>
      <c r="J508" s="24">
        <v>12600</v>
      </c>
      <c r="K508" s="21" t="s">
        <v>41</v>
      </c>
      <c r="L508" s="93">
        <v>0.1</v>
      </c>
      <c r="M508" s="93">
        <v>0.05</v>
      </c>
      <c r="N508" s="22"/>
      <c r="O508" s="23" t="s">
        <v>41</v>
      </c>
      <c r="P508" s="20">
        <f t="shared" si="120"/>
        <v>36</v>
      </c>
      <c r="Q508" s="23" t="s">
        <v>41</v>
      </c>
      <c r="R508" s="24">
        <f>P508*(J508-(J508*L508)-((J508-(J508*L508))*M508))</f>
        <v>387828</v>
      </c>
      <c r="S508" s="24">
        <f t="shared" ref="S508" si="122">R508/1.11</f>
        <v>349394.59459459456</v>
      </c>
    </row>
    <row r="509" spans="1:19" s="19" customFormat="1">
      <c r="A509" s="18" t="s">
        <v>365</v>
      </c>
      <c r="B509" s="19" t="s">
        <v>18</v>
      </c>
      <c r="C509" s="69"/>
      <c r="D509" s="21" t="s">
        <v>41</v>
      </c>
      <c r="E509" s="26"/>
      <c r="F509" s="22">
        <v>1</v>
      </c>
      <c r="G509" s="23" t="s">
        <v>20</v>
      </c>
      <c r="H509" s="22">
        <v>144</v>
      </c>
      <c r="I509" s="23" t="s">
        <v>41</v>
      </c>
      <c r="J509" s="24">
        <v>12600</v>
      </c>
      <c r="K509" s="21" t="s">
        <v>41</v>
      </c>
      <c r="L509" s="25">
        <v>0.125</v>
      </c>
      <c r="M509" s="25">
        <v>0.05</v>
      </c>
      <c r="N509" s="22"/>
      <c r="O509" s="23" t="s">
        <v>41</v>
      </c>
      <c r="P509" s="20">
        <f>(C509+(E509*F509*H509))-N509</f>
        <v>0</v>
      </c>
      <c r="Q509" s="23" t="s">
        <v>41</v>
      </c>
      <c r="R509" s="24">
        <f>P509*(J509-(J509*L509)-((J509-(J509*L509))*M509))</f>
        <v>0</v>
      </c>
      <c r="S509" s="24">
        <f>R509/1.11</f>
        <v>0</v>
      </c>
    </row>
    <row r="510" spans="1:19" s="19" customFormat="1">
      <c r="A510" s="18"/>
      <c r="C510" s="69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>
      <c r="A511" s="59" t="s">
        <v>366</v>
      </c>
      <c r="B511" s="19" t="s">
        <v>25</v>
      </c>
      <c r="C511" s="20"/>
      <c r="D511" s="21" t="s">
        <v>41</v>
      </c>
      <c r="E511" s="26"/>
      <c r="F511" s="22">
        <v>1</v>
      </c>
      <c r="G511" s="23" t="s">
        <v>20</v>
      </c>
      <c r="H511" s="22">
        <v>144</v>
      </c>
      <c r="I511" s="23" t="s">
        <v>41</v>
      </c>
      <c r="J511" s="24">
        <v>22200</v>
      </c>
      <c r="K511" s="21" t="s">
        <v>41</v>
      </c>
      <c r="L511" s="25"/>
      <c r="M511" s="25">
        <v>0.17</v>
      </c>
      <c r="N511" s="22"/>
      <c r="O511" s="23" t="s">
        <v>41</v>
      </c>
      <c r="P511" s="20">
        <f t="shared" ref="P511:P517" si="123">(C511+(E511*F511*H511))-N511</f>
        <v>0</v>
      </c>
      <c r="Q511" s="23" t="s">
        <v>41</v>
      </c>
      <c r="R511" s="24">
        <f t="shared" ref="R511:R517" si="124">P511*(J511-(J511*L511)-((J511-(J511*L511))*M511))</f>
        <v>0</v>
      </c>
      <c r="S511" s="24">
        <f t="shared" si="118"/>
        <v>0</v>
      </c>
    </row>
    <row r="512" spans="1:19" s="19" customFormat="1">
      <c r="A512" s="59" t="s">
        <v>367</v>
      </c>
      <c r="B512" s="19" t="s">
        <v>25</v>
      </c>
      <c r="C512" s="20"/>
      <c r="D512" s="21" t="s">
        <v>41</v>
      </c>
      <c r="E512" s="26"/>
      <c r="F512" s="22">
        <v>1</v>
      </c>
      <c r="G512" s="23" t="s">
        <v>20</v>
      </c>
      <c r="H512" s="22">
        <v>144</v>
      </c>
      <c r="I512" s="23" t="s">
        <v>41</v>
      </c>
      <c r="J512" s="24">
        <f>1728000/144</f>
        <v>12000</v>
      </c>
      <c r="K512" s="21" t="s">
        <v>41</v>
      </c>
      <c r="L512" s="25"/>
      <c r="M512" s="25">
        <v>0.17</v>
      </c>
      <c r="N512" s="22"/>
      <c r="O512" s="23" t="s">
        <v>41</v>
      </c>
      <c r="P512" s="20">
        <f t="shared" si="123"/>
        <v>0</v>
      </c>
      <c r="Q512" s="23" t="s">
        <v>41</v>
      </c>
      <c r="R512" s="24">
        <f t="shared" si="124"/>
        <v>0</v>
      </c>
      <c r="S512" s="24">
        <f t="shared" si="118"/>
        <v>0</v>
      </c>
    </row>
    <row r="513" spans="1:19" s="19" customFormat="1">
      <c r="A513" s="59" t="s">
        <v>368</v>
      </c>
      <c r="B513" s="19" t="s">
        <v>25</v>
      </c>
      <c r="C513" s="20"/>
      <c r="D513" s="21" t="s">
        <v>41</v>
      </c>
      <c r="E513" s="26"/>
      <c r="F513" s="22">
        <v>1</v>
      </c>
      <c r="G513" s="23" t="s">
        <v>20</v>
      </c>
      <c r="H513" s="22">
        <v>144</v>
      </c>
      <c r="I513" s="23" t="s">
        <v>41</v>
      </c>
      <c r="J513" s="24">
        <v>13800</v>
      </c>
      <c r="K513" s="21" t="s">
        <v>41</v>
      </c>
      <c r="L513" s="25"/>
      <c r="M513" s="25">
        <v>0.17</v>
      </c>
      <c r="N513" s="22"/>
      <c r="O513" s="23" t="s">
        <v>41</v>
      </c>
      <c r="P513" s="20">
        <f t="shared" si="123"/>
        <v>0</v>
      </c>
      <c r="Q513" s="23" t="s">
        <v>41</v>
      </c>
      <c r="R513" s="24">
        <f t="shared" si="124"/>
        <v>0</v>
      </c>
      <c r="S513" s="24">
        <f t="shared" si="118"/>
        <v>0</v>
      </c>
    </row>
    <row r="514" spans="1:19" s="19" customFormat="1">
      <c r="A514" s="59" t="s">
        <v>369</v>
      </c>
      <c r="B514" s="19" t="s">
        <v>25</v>
      </c>
      <c r="C514" s="20"/>
      <c r="D514" s="21" t="s">
        <v>41</v>
      </c>
      <c r="E514" s="26"/>
      <c r="F514" s="22">
        <v>1</v>
      </c>
      <c r="G514" s="23" t="s">
        <v>20</v>
      </c>
      <c r="H514" s="22">
        <v>144</v>
      </c>
      <c r="I514" s="23" t="s">
        <v>41</v>
      </c>
      <c r="J514" s="24">
        <v>13800</v>
      </c>
      <c r="K514" s="21" t="s">
        <v>41</v>
      </c>
      <c r="L514" s="25"/>
      <c r="M514" s="25">
        <v>0.17</v>
      </c>
      <c r="N514" s="22"/>
      <c r="O514" s="23" t="s">
        <v>41</v>
      </c>
      <c r="P514" s="20">
        <f t="shared" si="123"/>
        <v>0</v>
      </c>
      <c r="Q514" s="23" t="s">
        <v>41</v>
      </c>
      <c r="R514" s="24">
        <f t="shared" si="124"/>
        <v>0</v>
      </c>
      <c r="S514" s="24">
        <f t="shared" si="118"/>
        <v>0</v>
      </c>
    </row>
    <row r="515" spans="1:19" s="19" customFormat="1">
      <c r="A515" s="59" t="s">
        <v>370</v>
      </c>
      <c r="B515" s="19" t="s">
        <v>25</v>
      </c>
      <c r="C515" s="20"/>
      <c r="D515" s="21" t="s">
        <v>41</v>
      </c>
      <c r="E515" s="26"/>
      <c r="F515" s="22">
        <v>1</v>
      </c>
      <c r="G515" s="23" t="s">
        <v>20</v>
      </c>
      <c r="H515" s="22">
        <v>144</v>
      </c>
      <c r="I515" s="23" t="s">
        <v>41</v>
      </c>
      <c r="J515" s="24">
        <v>13800</v>
      </c>
      <c r="K515" s="21" t="s">
        <v>41</v>
      </c>
      <c r="L515" s="25"/>
      <c r="M515" s="25">
        <v>0.17</v>
      </c>
      <c r="N515" s="22"/>
      <c r="O515" s="23" t="s">
        <v>41</v>
      </c>
      <c r="P515" s="20">
        <f t="shared" si="123"/>
        <v>0</v>
      </c>
      <c r="Q515" s="23" t="s">
        <v>41</v>
      </c>
      <c r="R515" s="24">
        <f t="shared" si="124"/>
        <v>0</v>
      </c>
      <c r="S515" s="24">
        <f t="shared" si="118"/>
        <v>0</v>
      </c>
    </row>
    <row r="516" spans="1:19" s="19" customFormat="1">
      <c r="A516" s="59" t="s">
        <v>371</v>
      </c>
      <c r="B516" s="19" t="s">
        <v>25</v>
      </c>
      <c r="C516" s="20"/>
      <c r="D516" s="21" t="s">
        <v>41</v>
      </c>
      <c r="E516" s="26"/>
      <c r="F516" s="22">
        <v>1</v>
      </c>
      <c r="G516" s="23" t="s">
        <v>20</v>
      </c>
      <c r="H516" s="22">
        <v>144</v>
      </c>
      <c r="I516" s="23" t="s">
        <v>41</v>
      </c>
      <c r="J516" s="24">
        <f>1987200/144</f>
        <v>13800</v>
      </c>
      <c r="K516" s="21" t="s">
        <v>41</v>
      </c>
      <c r="L516" s="25"/>
      <c r="M516" s="25">
        <v>0.17</v>
      </c>
      <c r="N516" s="22"/>
      <c r="O516" s="23" t="s">
        <v>41</v>
      </c>
      <c r="P516" s="20">
        <f t="shared" si="123"/>
        <v>0</v>
      </c>
      <c r="Q516" s="23" t="s">
        <v>41</v>
      </c>
      <c r="R516" s="24">
        <f t="shared" si="124"/>
        <v>0</v>
      </c>
      <c r="S516" s="24">
        <f t="shared" si="118"/>
        <v>0</v>
      </c>
    </row>
    <row r="517" spans="1:19" s="19" customFormat="1">
      <c r="A517" s="59" t="s">
        <v>372</v>
      </c>
      <c r="B517" s="19" t="s">
        <v>25</v>
      </c>
      <c r="C517" s="20"/>
      <c r="D517" s="21" t="s">
        <v>41</v>
      </c>
      <c r="E517" s="26"/>
      <c r="F517" s="22">
        <v>1</v>
      </c>
      <c r="G517" s="23" t="s">
        <v>20</v>
      </c>
      <c r="H517" s="22">
        <v>144</v>
      </c>
      <c r="I517" s="23" t="s">
        <v>41</v>
      </c>
      <c r="J517" s="24">
        <f>2073600/12/12</f>
        <v>14400</v>
      </c>
      <c r="K517" s="21" t="s">
        <v>41</v>
      </c>
      <c r="L517" s="25"/>
      <c r="M517" s="25">
        <v>0.17</v>
      </c>
      <c r="N517" s="22"/>
      <c r="O517" s="23" t="s">
        <v>41</v>
      </c>
      <c r="P517" s="20">
        <f t="shared" si="123"/>
        <v>0</v>
      </c>
      <c r="Q517" s="23" t="s">
        <v>41</v>
      </c>
      <c r="R517" s="24">
        <f t="shared" si="124"/>
        <v>0</v>
      </c>
      <c r="S517" s="24">
        <f t="shared" si="118"/>
        <v>0</v>
      </c>
    </row>
    <row r="518" spans="1:19" s="19" customFormat="1">
      <c r="A518" s="59"/>
      <c r="C518" s="20"/>
      <c r="D518" s="21"/>
      <c r="E518" s="26"/>
      <c r="F518" s="22"/>
      <c r="G518" s="23"/>
      <c r="H518" s="22"/>
      <c r="I518" s="23"/>
      <c r="J518" s="24"/>
      <c r="K518" s="21"/>
      <c r="L518" s="25"/>
      <c r="M518" s="25"/>
      <c r="N518" s="22"/>
      <c r="O518" s="23"/>
      <c r="P518" s="20"/>
      <c r="Q518" s="23"/>
      <c r="R518" s="24"/>
      <c r="S518" s="24"/>
    </row>
    <row r="519" spans="1:19" s="19" customFormat="1">
      <c r="A519" s="88" t="s">
        <v>373</v>
      </c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19" customFormat="1">
      <c r="A520" s="18" t="s">
        <v>374</v>
      </c>
      <c r="B520" s="19" t="s">
        <v>187</v>
      </c>
      <c r="C520" s="20"/>
      <c r="D520" s="21" t="s">
        <v>41</v>
      </c>
      <c r="E520" s="26"/>
      <c r="F520" s="22">
        <v>1</v>
      </c>
      <c r="G520" s="23" t="s">
        <v>20</v>
      </c>
      <c r="H520" s="22">
        <v>240</v>
      </c>
      <c r="I520" s="23" t="s">
        <v>41</v>
      </c>
      <c r="J520" s="24">
        <v>10000</v>
      </c>
      <c r="K520" s="21" t="s">
        <v>41</v>
      </c>
      <c r="L520" s="25"/>
      <c r="M520" s="25"/>
      <c r="N520" s="22"/>
      <c r="O520" s="23" t="s">
        <v>41</v>
      </c>
      <c r="P520" s="20">
        <f>(C520+(E520*F520*H520))-N520</f>
        <v>0</v>
      </c>
      <c r="Q520" s="23" t="s">
        <v>41</v>
      </c>
      <c r="R520" s="24">
        <f>P520*(J520-(J520*L520)-((J520-(J520*L520))*M520))</f>
        <v>0</v>
      </c>
      <c r="S520" s="24">
        <f t="shared" si="118"/>
        <v>0</v>
      </c>
    </row>
    <row r="521" spans="1:19" s="19" customFormat="1">
      <c r="A521" s="18" t="s">
        <v>375</v>
      </c>
      <c r="B521" s="19" t="s">
        <v>187</v>
      </c>
      <c r="C521" s="20"/>
      <c r="D521" s="21" t="s">
        <v>41</v>
      </c>
      <c r="E521" s="26"/>
      <c r="F521" s="22">
        <v>1</v>
      </c>
      <c r="G521" s="23" t="s">
        <v>20</v>
      </c>
      <c r="H521" s="22">
        <v>240</v>
      </c>
      <c r="I521" s="23" t="s">
        <v>41</v>
      </c>
      <c r="J521" s="24">
        <v>10000</v>
      </c>
      <c r="K521" s="21" t="s">
        <v>41</v>
      </c>
      <c r="L521" s="25"/>
      <c r="M521" s="25"/>
      <c r="N521" s="22"/>
      <c r="O521" s="23" t="s">
        <v>41</v>
      </c>
      <c r="P521" s="20">
        <f>(C521+(E521*F521*H521))-N521</f>
        <v>0</v>
      </c>
      <c r="Q521" s="23" t="s">
        <v>41</v>
      </c>
      <c r="R521" s="24">
        <f>P521*(J521-(J521*L521)-((J521-(J521*L521))*M521))</f>
        <v>0</v>
      </c>
      <c r="S521" s="24">
        <f t="shared" si="118"/>
        <v>0</v>
      </c>
    </row>
    <row r="522" spans="1:19" s="19" customFormat="1">
      <c r="A522" s="18" t="s">
        <v>376</v>
      </c>
      <c r="B522" s="19" t="s">
        <v>187</v>
      </c>
      <c r="C522" s="20"/>
      <c r="D522" s="21" t="s">
        <v>41</v>
      </c>
      <c r="E522" s="26"/>
      <c r="F522" s="22">
        <v>1</v>
      </c>
      <c r="G522" s="23" t="s">
        <v>20</v>
      </c>
      <c r="H522" s="22">
        <v>240</v>
      </c>
      <c r="I522" s="23" t="s">
        <v>41</v>
      </c>
      <c r="J522" s="24">
        <v>10000</v>
      </c>
      <c r="K522" s="21" t="s">
        <v>41</v>
      </c>
      <c r="L522" s="25"/>
      <c r="M522" s="25"/>
      <c r="N522" s="22"/>
      <c r="O522" s="23" t="s">
        <v>41</v>
      </c>
      <c r="P522" s="20">
        <f>(C522+(E522*F522*H522))-N522</f>
        <v>0</v>
      </c>
      <c r="Q522" s="23" t="s">
        <v>41</v>
      </c>
      <c r="R522" s="24">
        <f>P522*(J522-(J522*L522)-((J522-(J522*L522))*M522))</f>
        <v>0</v>
      </c>
      <c r="S522" s="24">
        <f t="shared" si="118"/>
        <v>0</v>
      </c>
    </row>
    <row r="523" spans="1:19" s="19" customFormat="1">
      <c r="A523" s="18" t="s">
        <v>377</v>
      </c>
      <c r="B523" s="19" t="s">
        <v>187</v>
      </c>
      <c r="C523" s="20"/>
      <c r="D523" s="21" t="s">
        <v>41</v>
      </c>
      <c r="E523" s="26"/>
      <c r="F523" s="22">
        <v>1</v>
      </c>
      <c r="G523" s="23" t="s">
        <v>20</v>
      </c>
      <c r="H523" s="22">
        <v>240</v>
      </c>
      <c r="I523" s="23" t="s">
        <v>41</v>
      </c>
      <c r="J523" s="24">
        <v>10000</v>
      </c>
      <c r="K523" s="21" t="s">
        <v>41</v>
      </c>
      <c r="L523" s="25"/>
      <c r="M523" s="25"/>
      <c r="N523" s="22"/>
      <c r="O523" s="23" t="s">
        <v>41</v>
      </c>
      <c r="P523" s="20">
        <f>(C523+(E523*F523*H523))-N523</f>
        <v>0</v>
      </c>
      <c r="Q523" s="23" t="s">
        <v>41</v>
      </c>
      <c r="R523" s="24">
        <f>P523*(J523-(J523*L523)-((J523-(J523*L523))*M523))</f>
        <v>0</v>
      </c>
      <c r="S523" s="24">
        <f t="shared" si="118"/>
        <v>0</v>
      </c>
    </row>
    <row r="524" spans="1:19" s="19" customFormat="1">
      <c r="A524" s="18"/>
      <c r="C524" s="20"/>
      <c r="D524" s="21"/>
      <c r="E524" s="26"/>
      <c r="F524" s="22"/>
      <c r="G524" s="23"/>
      <c r="H524" s="22"/>
      <c r="I524" s="23"/>
      <c r="J524" s="24"/>
      <c r="K524" s="21"/>
      <c r="L524" s="25"/>
      <c r="M524" s="25"/>
      <c r="N524" s="22"/>
      <c r="O524" s="23"/>
      <c r="P524" s="20"/>
      <c r="Q524" s="23"/>
      <c r="R524" s="24"/>
      <c r="S524" s="24"/>
    </row>
    <row r="525" spans="1:19" s="19" customFormat="1">
      <c r="A525" s="18" t="s">
        <v>407</v>
      </c>
      <c r="B525" s="19" t="s">
        <v>266</v>
      </c>
      <c r="C525" s="20"/>
      <c r="D525" s="21" t="s">
        <v>41</v>
      </c>
      <c r="E525" s="26"/>
      <c r="F525" s="22">
        <v>1</v>
      </c>
      <c r="G525" s="23" t="s">
        <v>20</v>
      </c>
      <c r="H525" s="22">
        <v>120</v>
      </c>
      <c r="I525" s="23" t="s">
        <v>41</v>
      </c>
      <c r="J525" s="24">
        <v>25500</v>
      </c>
      <c r="K525" s="21" t="s">
        <v>41</v>
      </c>
      <c r="L525" s="25"/>
      <c r="M525" s="25"/>
      <c r="N525" s="22"/>
      <c r="O525" s="23" t="s">
        <v>41</v>
      </c>
      <c r="P525" s="20">
        <f>(C525+(E525*F525*H525))-N525</f>
        <v>0</v>
      </c>
      <c r="Q525" s="23" t="s">
        <v>41</v>
      </c>
      <c r="R525" s="24">
        <f>P525*(J525-(J525*L525)-((J525-(J525*L525))*M525))</f>
        <v>0</v>
      </c>
      <c r="S525" s="24">
        <f>R525/1.11</f>
        <v>0</v>
      </c>
    </row>
    <row r="526" spans="1:19" s="19" customFormat="1">
      <c r="A526" s="18" t="s">
        <v>772</v>
      </c>
      <c r="B526" s="19" t="s">
        <v>266</v>
      </c>
      <c r="C526" s="20"/>
      <c r="D526" s="21" t="s">
        <v>41</v>
      </c>
      <c r="E526" s="26"/>
      <c r="F526" s="22">
        <v>1</v>
      </c>
      <c r="G526" s="23" t="s">
        <v>20</v>
      </c>
      <c r="H526" s="22">
        <v>120</v>
      </c>
      <c r="I526" s="23" t="s">
        <v>41</v>
      </c>
      <c r="J526" s="24">
        <v>19000</v>
      </c>
      <c r="K526" s="21" t="s">
        <v>41</v>
      </c>
      <c r="L526" s="25"/>
      <c r="M526" s="25"/>
      <c r="N526" s="22"/>
      <c r="O526" s="23" t="s">
        <v>41</v>
      </c>
      <c r="P526" s="20">
        <f>(C526+(E526*F526*H526))-N526</f>
        <v>0</v>
      </c>
      <c r="Q526" s="23" t="s">
        <v>41</v>
      </c>
      <c r="R526" s="24">
        <f>P526*(J526-(J526*L526)-((J526-(J526*L526))*M526))</f>
        <v>0</v>
      </c>
      <c r="S526" s="24">
        <f t="shared" ref="S526" si="125">R526/1.11</f>
        <v>0</v>
      </c>
    </row>
    <row r="527" spans="1:19" s="19" customFormat="1">
      <c r="A527" s="18"/>
      <c r="C527" s="20"/>
      <c r="D527" s="21"/>
      <c r="E527" s="26"/>
      <c r="F527" s="22"/>
      <c r="G527" s="23"/>
      <c r="H527" s="22"/>
      <c r="I527" s="23"/>
      <c r="J527" s="24"/>
      <c r="K527" s="21"/>
      <c r="L527" s="25"/>
      <c r="M527" s="25"/>
      <c r="N527" s="22"/>
      <c r="O527" s="23"/>
      <c r="P527" s="20"/>
      <c r="Q527" s="23"/>
      <c r="R527" s="24"/>
      <c r="S527" s="24"/>
    </row>
    <row r="528" spans="1:19" s="19" customFormat="1">
      <c r="A528" s="18" t="s">
        <v>378</v>
      </c>
      <c r="B528" s="19" t="s">
        <v>18</v>
      </c>
      <c r="C528" s="20"/>
      <c r="D528" s="21" t="s">
        <v>41</v>
      </c>
      <c r="E528" s="26"/>
      <c r="F528" s="22">
        <v>1</v>
      </c>
      <c r="G528" s="23" t="s">
        <v>20</v>
      </c>
      <c r="H528" s="22">
        <v>144</v>
      </c>
      <c r="I528" s="23" t="s">
        <v>41</v>
      </c>
      <c r="J528" s="24">
        <v>19800</v>
      </c>
      <c r="K528" s="21" t="s">
        <v>41</v>
      </c>
      <c r="L528" s="25">
        <v>0.125</v>
      </c>
      <c r="M528" s="25">
        <v>0.05</v>
      </c>
      <c r="N528" s="22"/>
      <c r="O528" s="23" t="s">
        <v>41</v>
      </c>
      <c r="P528" s="20">
        <f t="shared" ref="P528:P544" si="126">(C528+(E528*F528*H528))-N528</f>
        <v>0</v>
      </c>
      <c r="Q528" s="23" t="s">
        <v>41</v>
      </c>
      <c r="R528" s="24">
        <f t="shared" ref="R528:R544" si="127">P528*(J528-(J528*L528)-((J528-(J528*L528))*M528))</f>
        <v>0</v>
      </c>
      <c r="S528" s="24">
        <f t="shared" si="118"/>
        <v>0</v>
      </c>
    </row>
    <row r="529" spans="1:19" s="19" customFormat="1">
      <c r="A529" s="18" t="s">
        <v>379</v>
      </c>
      <c r="B529" s="19" t="s">
        <v>18</v>
      </c>
      <c r="C529" s="20"/>
      <c r="D529" s="21" t="s">
        <v>41</v>
      </c>
      <c r="E529" s="26"/>
      <c r="F529" s="22">
        <v>1</v>
      </c>
      <c r="G529" s="23" t="s">
        <v>20</v>
      </c>
      <c r="H529" s="22">
        <v>144</v>
      </c>
      <c r="I529" s="23" t="s">
        <v>41</v>
      </c>
      <c r="J529" s="24">
        <v>20400</v>
      </c>
      <c r="K529" s="21" t="s">
        <v>41</v>
      </c>
      <c r="L529" s="25">
        <v>0.125</v>
      </c>
      <c r="M529" s="25">
        <v>0.05</v>
      </c>
      <c r="N529" s="22"/>
      <c r="O529" s="23" t="s">
        <v>41</v>
      </c>
      <c r="P529" s="20">
        <f t="shared" si="126"/>
        <v>0</v>
      </c>
      <c r="Q529" s="23" t="s">
        <v>41</v>
      </c>
      <c r="R529" s="24">
        <f t="shared" si="127"/>
        <v>0</v>
      </c>
      <c r="S529" s="24">
        <f t="shared" si="118"/>
        <v>0</v>
      </c>
    </row>
    <row r="530" spans="1:19" s="19" customFormat="1">
      <c r="A530" s="59" t="s">
        <v>665</v>
      </c>
      <c r="B530" s="19" t="s">
        <v>18</v>
      </c>
      <c r="C530" s="20"/>
      <c r="D530" s="21" t="s">
        <v>41</v>
      </c>
      <c r="E530" s="26"/>
      <c r="F530" s="22">
        <v>1</v>
      </c>
      <c r="G530" s="23" t="s">
        <v>20</v>
      </c>
      <c r="H530" s="22">
        <v>144</v>
      </c>
      <c r="I530" s="23" t="s">
        <v>41</v>
      </c>
      <c r="J530" s="24">
        <v>69600</v>
      </c>
      <c r="K530" s="21" t="s">
        <v>41</v>
      </c>
      <c r="L530" s="25">
        <v>0.125</v>
      </c>
      <c r="M530" s="25">
        <v>0.05</v>
      </c>
      <c r="N530" s="22"/>
      <c r="O530" s="23" t="s">
        <v>41</v>
      </c>
      <c r="P530" s="20">
        <f t="shared" si="126"/>
        <v>0</v>
      </c>
      <c r="Q530" s="23" t="s">
        <v>41</v>
      </c>
      <c r="R530" s="24">
        <f t="shared" si="127"/>
        <v>0</v>
      </c>
      <c r="S530" s="24">
        <f t="shared" si="118"/>
        <v>0</v>
      </c>
    </row>
    <row r="531" spans="1:19" s="19" customFormat="1">
      <c r="A531" s="59" t="s">
        <v>820</v>
      </c>
      <c r="B531" s="19" t="s">
        <v>18</v>
      </c>
      <c r="C531" s="20"/>
      <c r="D531" s="21" t="s">
        <v>41</v>
      </c>
      <c r="E531" s="26"/>
      <c r="F531" s="22">
        <v>1</v>
      </c>
      <c r="G531" s="23" t="s">
        <v>20</v>
      </c>
      <c r="H531" s="22">
        <v>144</v>
      </c>
      <c r="I531" s="23" t="s">
        <v>41</v>
      </c>
      <c r="J531" s="24">
        <v>32400</v>
      </c>
      <c r="K531" s="21" t="s">
        <v>41</v>
      </c>
      <c r="L531" s="25">
        <v>0.125</v>
      </c>
      <c r="M531" s="25">
        <v>0.05</v>
      </c>
      <c r="N531" s="22"/>
      <c r="O531" s="23" t="s">
        <v>41</v>
      </c>
      <c r="P531" s="20">
        <f t="shared" si="126"/>
        <v>0</v>
      </c>
      <c r="Q531" s="23" t="s">
        <v>41</v>
      </c>
      <c r="R531" s="24">
        <f t="shared" si="127"/>
        <v>0</v>
      </c>
      <c r="S531" s="24">
        <f t="shared" si="118"/>
        <v>0</v>
      </c>
    </row>
    <row r="532" spans="1:19" s="19" customFormat="1">
      <c r="A532" s="59" t="s">
        <v>380</v>
      </c>
      <c r="B532" s="19" t="s">
        <v>18</v>
      </c>
      <c r="C532" s="20"/>
      <c r="D532" s="21" t="s">
        <v>41</v>
      </c>
      <c r="E532" s="26"/>
      <c r="F532" s="22">
        <v>1</v>
      </c>
      <c r="G532" s="23" t="s">
        <v>20</v>
      </c>
      <c r="H532" s="22">
        <v>144</v>
      </c>
      <c r="I532" s="23" t="s">
        <v>41</v>
      </c>
      <c r="J532" s="24">
        <v>27000</v>
      </c>
      <c r="K532" s="21" t="s">
        <v>41</v>
      </c>
      <c r="L532" s="25">
        <v>0.125</v>
      </c>
      <c r="M532" s="25">
        <v>0.05</v>
      </c>
      <c r="N532" s="22"/>
      <c r="O532" s="23" t="s">
        <v>41</v>
      </c>
      <c r="P532" s="20">
        <f t="shared" si="126"/>
        <v>0</v>
      </c>
      <c r="Q532" s="23" t="s">
        <v>41</v>
      </c>
      <c r="R532" s="24">
        <f t="shared" si="127"/>
        <v>0</v>
      </c>
      <c r="S532" s="24">
        <f t="shared" si="118"/>
        <v>0</v>
      </c>
    </row>
    <row r="533" spans="1:19" s="19" customFormat="1">
      <c r="A533" s="59" t="s">
        <v>721</v>
      </c>
      <c r="B533" s="19" t="s">
        <v>18</v>
      </c>
      <c r="C533" s="20"/>
      <c r="D533" s="21" t="s">
        <v>41</v>
      </c>
      <c r="E533" s="26"/>
      <c r="F533" s="22">
        <v>1</v>
      </c>
      <c r="G533" s="23" t="s">
        <v>20</v>
      </c>
      <c r="H533" s="22">
        <v>144</v>
      </c>
      <c r="I533" s="23" t="s">
        <v>41</v>
      </c>
      <c r="J533" s="24">
        <v>21600</v>
      </c>
      <c r="K533" s="21" t="s">
        <v>41</v>
      </c>
      <c r="L533" s="25">
        <v>0.125</v>
      </c>
      <c r="M533" s="25">
        <v>0.05</v>
      </c>
      <c r="N533" s="22"/>
      <c r="O533" s="23" t="s">
        <v>41</v>
      </c>
      <c r="P533" s="20">
        <f t="shared" si="126"/>
        <v>0</v>
      </c>
      <c r="Q533" s="23" t="s">
        <v>41</v>
      </c>
      <c r="R533" s="24">
        <f t="shared" si="127"/>
        <v>0</v>
      </c>
      <c r="S533" s="24">
        <f t="shared" ref="S533:S611" si="128">R533/1.11</f>
        <v>0</v>
      </c>
    </row>
    <row r="534" spans="1:19" s="19" customFormat="1">
      <c r="A534" s="59" t="s">
        <v>381</v>
      </c>
      <c r="B534" s="19" t="s">
        <v>18</v>
      </c>
      <c r="C534" s="20"/>
      <c r="D534" s="21" t="s">
        <v>41</v>
      </c>
      <c r="E534" s="26"/>
      <c r="F534" s="22">
        <v>1</v>
      </c>
      <c r="G534" s="23" t="s">
        <v>20</v>
      </c>
      <c r="H534" s="22">
        <v>144</v>
      </c>
      <c r="I534" s="23" t="s">
        <v>41</v>
      </c>
      <c r="J534" s="24">
        <v>43200</v>
      </c>
      <c r="K534" s="21" t="s">
        <v>41</v>
      </c>
      <c r="L534" s="25">
        <v>0.125</v>
      </c>
      <c r="M534" s="25">
        <v>0.05</v>
      </c>
      <c r="N534" s="22"/>
      <c r="O534" s="23" t="s">
        <v>41</v>
      </c>
      <c r="P534" s="20">
        <f t="shared" si="126"/>
        <v>0</v>
      </c>
      <c r="Q534" s="23" t="s">
        <v>41</v>
      </c>
      <c r="R534" s="24">
        <f t="shared" si="127"/>
        <v>0</v>
      </c>
      <c r="S534" s="24">
        <f t="shared" si="128"/>
        <v>0</v>
      </c>
    </row>
    <row r="535" spans="1:19" s="19" customFormat="1">
      <c r="A535" s="59" t="s">
        <v>382</v>
      </c>
      <c r="B535" s="19" t="s">
        <v>18</v>
      </c>
      <c r="C535" s="20"/>
      <c r="D535" s="21" t="s">
        <v>41</v>
      </c>
      <c r="E535" s="26"/>
      <c r="F535" s="22">
        <v>1</v>
      </c>
      <c r="G535" s="23" t="s">
        <v>20</v>
      </c>
      <c r="H535" s="22">
        <v>144</v>
      </c>
      <c r="I535" s="23" t="s">
        <v>41</v>
      </c>
      <c r="J535" s="24">
        <v>22800</v>
      </c>
      <c r="K535" s="21" t="s">
        <v>41</v>
      </c>
      <c r="L535" s="25">
        <v>0.125</v>
      </c>
      <c r="M535" s="25">
        <v>0.05</v>
      </c>
      <c r="N535" s="22"/>
      <c r="O535" s="23" t="s">
        <v>41</v>
      </c>
      <c r="P535" s="20">
        <f t="shared" si="126"/>
        <v>0</v>
      </c>
      <c r="Q535" s="23" t="s">
        <v>41</v>
      </c>
      <c r="R535" s="24">
        <f t="shared" si="127"/>
        <v>0</v>
      </c>
      <c r="S535" s="24">
        <f t="shared" si="128"/>
        <v>0</v>
      </c>
    </row>
    <row r="536" spans="1:19" s="19" customFormat="1">
      <c r="A536" s="59" t="s">
        <v>383</v>
      </c>
      <c r="B536" s="19" t="s">
        <v>18</v>
      </c>
      <c r="C536" s="20"/>
      <c r="D536" s="21" t="s">
        <v>41</v>
      </c>
      <c r="E536" s="26">
        <v>1</v>
      </c>
      <c r="F536" s="22">
        <v>1</v>
      </c>
      <c r="G536" s="23" t="s">
        <v>20</v>
      </c>
      <c r="H536" s="22">
        <v>144</v>
      </c>
      <c r="I536" s="23" t="s">
        <v>41</v>
      </c>
      <c r="J536" s="24">
        <v>28200</v>
      </c>
      <c r="K536" s="21" t="s">
        <v>41</v>
      </c>
      <c r="L536" s="25">
        <v>0.125</v>
      </c>
      <c r="M536" s="25">
        <v>0.05</v>
      </c>
      <c r="N536" s="22"/>
      <c r="O536" s="97" t="s">
        <v>41</v>
      </c>
      <c r="P536" s="20">
        <f t="shared" ref="P536" si="129">(C536+(E536*F536*H536))-N536</f>
        <v>144</v>
      </c>
      <c r="Q536" s="23" t="s">
        <v>41</v>
      </c>
      <c r="R536" s="24">
        <f t="shared" ref="R536" si="130">P536*(J536-(J536*L536)-((J536-(J536*L536))*M536))</f>
        <v>3375540</v>
      </c>
      <c r="S536" s="24">
        <f t="shared" ref="S536" si="131">R536/1.11</f>
        <v>3041027.0270270268</v>
      </c>
    </row>
    <row r="537" spans="1:19" s="19" customFormat="1">
      <c r="A537" s="67" t="s">
        <v>383</v>
      </c>
      <c r="B537" s="32" t="s">
        <v>18</v>
      </c>
      <c r="C537" s="33"/>
      <c r="D537" s="34" t="s">
        <v>41</v>
      </c>
      <c r="E537" s="35"/>
      <c r="F537" s="36">
        <v>1</v>
      </c>
      <c r="G537" s="37" t="s">
        <v>20</v>
      </c>
      <c r="H537" s="36">
        <v>144</v>
      </c>
      <c r="I537" s="37" t="s">
        <v>41</v>
      </c>
      <c r="J537" s="38">
        <v>26400</v>
      </c>
      <c r="K537" s="34" t="s">
        <v>41</v>
      </c>
      <c r="L537" s="39">
        <v>0.125</v>
      </c>
      <c r="M537" s="39">
        <v>0.05</v>
      </c>
      <c r="N537" s="36"/>
      <c r="O537" s="70" t="s">
        <v>41</v>
      </c>
      <c r="P537" s="33">
        <f t="shared" si="126"/>
        <v>0</v>
      </c>
      <c r="Q537" s="37" t="s">
        <v>41</v>
      </c>
      <c r="R537" s="38">
        <f t="shared" si="127"/>
        <v>0</v>
      </c>
      <c r="S537" s="38">
        <f t="shared" si="128"/>
        <v>0</v>
      </c>
    </row>
    <row r="538" spans="1:19" s="19" customFormat="1">
      <c r="A538" s="67" t="s">
        <v>837</v>
      </c>
      <c r="B538" s="32" t="s">
        <v>18</v>
      </c>
      <c r="C538" s="33"/>
      <c r="D538" s="34" t="s">
        <v>41</v>
      </c>
      <c r="E538" s="35"/>
      <c r="F538" s="36">
        <v>1</v>
      </c>
      <c r="G538" s="37" t="s">
        <v>20</v>
      </c>
      <c r="H538" s="36">
        <v>144</v>
      </c>
      <c r="I538" s="37" t="s">
        <v>41</v>
      </c>
      <c r="J538" s="38">
        <v>0</v>
      </c>
      <c r="K538" s="34" t="s">
        <v>41</v>
      </c>
      <c r="L538" s="39">
        <v>0</v>
      </c>
      <c r="M538" s="39">
        <v>0</v>
      </c>
      <c r="N538" s="36"/>
      <c r="O538" s="70" t="s">
        <v>41</v>
      </c>
      <c r="P538" s="33">
        <f t="shared" si="126"/>
        <v>0</v>
      </c>
      <c r="Q538" s="37" t="s">
        <v>41</v>
      </c>
      <c r="R538" s="38">
        <f t="shared" si="127"/>
        <v>0</v>
      </c>
      <c r="S538" s="38">
        <f t="shared" si="128"/>
        <v>0</v>
      </c>
    </row>
    <row r="539" spans="1:19" s="19" customFormat="1">
      <c r="A539" s="59" t="s">
        <v>384</v>
      </c>
      <c r="B539" s="19" t="s">
        <v>18</v>
      </c>
      <c r="C539" s="20"/>
      <c r="D539" s="21" t="s">
        <v>41</v>
      </c>
      <c r="E539" s="26"/>
      <c r="F539" s="22">
        <v>1</v>
      </c>
      <c r="G539" s="23" t="s">
        <v>20</v>
      </c>
      <c r="H539" s="22">
        <v>144</v>
      </c>
      <c r="I539" s="23" t="s">
        <v>41</v>
      </c>
      <c r="J539" s="24">
        <v>27600</v>
      </c>
      <c r="K539" s="21" t="s">
        <v>41</v>
      </c>
      <c r="L539" s="25">
        <v>0.125</v>
      </c>
      <c r="M539" s="25">
        <v>0.05</v>
      </c>
      <c r="N539" s="22"/>
      <c r="O539" s="23" t="s">
        <v>41</v>
      </c>
      <c r="P539" s="20">
        <f t="shared" si="126"/>
        <v>0</v>
      </c>
      <c r="Q539" s="23" t="s">
        <v>41</v>
      </c>
      <c r="R539" s="24">
        <f t="shared" si="127"/>
        <v>0</v>
      </c>
      <c r="S539" s="24">
        <f t="shared" si="128"/>
        <v>0</v>
      </c>
    </row>
    <row r="540" spans="1:19">
      <c r="A540" s="59" t="s">
        <v>385</v>
      </c>
      <c r="B540" s="2" t="s">
        <v>18</v>
      </c>
      <c r="D540" s="4" t="s">
        <v>41</v>
      </c>
      <c r="F540" s="6">
        <v>1</v>
      </c>
      <c r="G540" s="7" t="s">
        <v>20</v>
      </c>
      <c r="H540" s="6">
        <v>144</v>
      </c>
      <c r="I540" s="7" t="s">
        <v>41</v>
      </c>
      <c r="J540" s="8">
        <v>25800</v>
      </c>
      <c r="K540" s="4" t="s">
        <v>41</v>
      </c>
      <c r="L540" s="9">
        <v>0.125</v>
      </c>
      <c r="M540" s="9">
        <v>0.05</v>
      </c>
      <c r="O540" s="7" t="s">
        <v>41</v>
      </c>
      <c r="P540" s="3">
        <f t="shared" si="126"/>
        <v>0</v>
      </c>
      <c r="Q540" s="7" t="s">
        <v>41</v>
      </c>
      <c r="R540" s="8">
        <f t="shared" si="127"/>
        <v>0</v>
      </c>
      <c r="S540" s="8">
        <f t="shared" si="128"/>
        <v>0</v>
      </c>
    </row>
    <row r="541" spans="1:19">
      <c r="A541" s="17" t="s">
        <v>386</v>
      </c>
      <c r="B541" s="2" t="s">
        <v>18</v>
      </c>
      <c r="D541" s="4" t="s">
        <v>41</v>
      </c>
      <c r="E541" s="5">
        <v>2</v>
      </c>
      <c r="F541" s="6">
        <v>1</v>
      </c>
      <c r="G541" s="7" t="s">
        <v>20</v>
      </c>
      <c r="H541" s="6">
        <v>144</v>
      </c>
      <c r="I541" s="7" t="s">
        <v>41</v>
      </c>
      <c r="J541" s="8">
        <v>14100</v>
      </c>
      <c r="K541" s="4" t="s">
        <v>41</v>
      </c>
      <c r="L541" s="9">
        <v>0.125</v>
      </c>
      <c r="M541" s="9">
        <v>0.05</v>
      </c>
      <c r="O541" s="7" t="s">
        <v>41</v>
      </c>
      <c r="P541" s="3">
        <f t="shared" si="126"/>
        <v>288</v>
      </c>
      <c r="Q541" s="7" t="s">
        <v>41</v>
      </c>
      <c r="R541" s="8">
        <f t="shared" si="127"/>
        <v>3375540</v>
      </c>
      <c r="S541" s="8">
        <f t="shared" si="128"/>
        <v>3041027.0270270268</v>
      </c>
    </row>
    <row r="542" spans="1:19">
      <c r="A542" s="17" t="s">
        <v>708</v>
      </c>
      <c r="B542" s="2" t="s">
        <v>18</v>
      </c>
      <c r="D542" s="4" t="s">
        <v>41</v>
      </c>
      <c r="F542" s="6">
        <v>1</v>
      </c>
      <c r="G542" s="7" t="s">
        <v>20</v>
      </c>
      <c r="H542" s="6">
        <v>144</v>
      </c>
      <c r="I542" s="7" t="s">
        <v>41</v>
      </c>
      <c r="J542" s="8">
        <v>25800</v>
      </c>
      <c r="K542" s="4" t="s">
        <v>41</v>
      </c>
      <c r="L542" s="9">
        <v>0.125</v>
      </c>
      <c r="M542" s="9">
        <v>0.05</v>
      </c>
      <c r="O542" s="7" t="s">
        <v>41</v>
      </c>
      <c r="P542" s="3">
        <f t="shared" si="126"/>
        <v>0</v>
      </c>
      <c r="Q542" s="7" t="s">
        <v>41</v>
      </c>
      <c r="R542" s="8">
        <f t="shared" si="127"/>
        <v>0</v>
      </c>
      <c r="S542" s="8">
        <f t="shared" si="128"/>
        <v>0</v>
      </c>
    </row>
    <row r="543" spans="1:19">
      <c r="A543" s="17" t="s">
        <v>387</v>
      </c>
      <c r="B543" s="2" t="s">
        <v>18</v>
      </c>
      <c r="D543" s="4" t="s">
        <v>41</v>
      </c>
      <c r="F543" s="6">
        <v>1</v>
      </c>
      <c r="G543" s="7" t="s">
        <v>20</v>
      </c>
      <c r="H543" s="6">
        <v>144</v>
      </c>
      <c r="I543" s="7" t="s">
        <v>41</v>
      </c>
      <c r="J543" s="8">
        <v>20400</v>
      </c>
      <c r="K543" s="4" t="s">
        <v>41</v>
      </c>
      <c r="L543" s="9">
        <v>0.125</v>
      </c>
      <c r="M543" s="9">
        <v>0.05</v>
      </c>
      <c r="O543" s="7" t="s">
        <v>41</v>
      </c>
      <c r="P543" s="3">
        <f t="shared" si="126"/>
        <v>0</v>
      </c>
      <c r="Q543" s="7" t="s">
        <v>41</v>
      </c>
      <c r="R543" s="8">
        <f t="shared" si="127"/>
        <v>0</v>
      </c>
      <c r="S543" s="8">
        <f t="shared" si="128"/>
        <v>0</v>
      </c>
    </row>
    <row r="544" spans="1:19">
      <c r="A544" s="17" t="s">
        <v>829</v>
      </c>
      <c r="B544" s="2" t="s">
        <v>18</v>
      </c>
      <c r="D544" s="4" t="s">
        <v>41</v>
      </c>
      <c r="F544" s="6">
        <v>1</v>
      </c>
      <c r="G544" s="7" t="s">
        <v>20</v>
      </c>
      <c r="H544" s="6">
        <v>144</v>
      </c>
      <c r="I544" s="7" t="s">
        <v>41</v>
      </c>
      <c r="J544" s="8">
        <v>17400</v>
      </c>
      <c r="K544" s="4" t="s">
        <v>41</v>
      </c>
      <c r="L544" s="9">
        <v>0.125</v>
      </c>
      <c r="M544" s="9">
        <v>0.1</v>
      </c>
      <c r="O544" s="7" t="s">
        <v>41</v>
      </c>
      <c r="P544" s="3">
        <f t="shared" si="126"/>
        <v>0</v>
      </c>
      <c r="Q544" s="7" t="s">
        <v>41</v>
      </c>
      <c r="R544" s="8">
        <f t="shared" si="127"/>
        <v>0</v>
      </c>
      <c r="S544" s="8">
        <f t="shared" si="128"/>
        <v>0</v>
      </c>
    </row>
    <row r="546" spans="1:19">
      <c r="A546" s="17" t="s">
        <v>388</v>
      </c>
      <c r="B546" s="2" t="s">
        <v>25</v>
      </c>
      <c r="C546" s="20"/>
      <c r="D546" s="4" t="s">
        <v>41</v>
      </c>
      <c r="F546" s="6">
        <v>1</v>
      </c>
      <c r="G546" s="7" t="s">
        <v>20</v>
      </c>
      <c r="H546" s="6">
        <v>144</v>
      </c>
      <c r="I546" s="7" t="s">
        <v>41</v>
      </c>
      <c r="J546" s="8">
        <v>25200</v>
      </c>
      <c r="K546" s="4" t="s">
        <v>41</v>
      </c>
      <c r="M546" s="9">
        <v>0.17</v>
      </c>
      <c r="O546" s="7" t="s">
        <v>41</v>
      </c>
      <c r="P546" s="3">
        <f t="shared" ref="P546:P570" si="132">(C546+(E546*F546*H546))-N546</f>
        <v>0</v>
      </c>
      <c r="Q546" s="7" t="s">
        <v>41</v>
      </c>
      <c r="R546" s="8">
        <f t="shared" ref="R546:R570" si="133">P546*(J546-(J546*L546)-((J546-(J546*L546))*M546))</f>
        <v>0</v>
      </c>
      <c r="S546" s="8">
        <f t="shared" si="128"/>
        <v>0</v>
      </c>
    </row>
    <row r="547" spans="1:19">
      <c r="A547" s="17" t="s">
        <v>681</v>
      </c>
      <c r="B547" s="2" t="s">
        <v>25</v>
      </c>
      <c r="D547" s="4" t="s">
        <v>41</v>
      </c>
      <c r="E547" s="5">
        <v>2</v>
      </c>
      <c r="F547" s="6">
        <v>1</v>
      </c>
      <c r="G547" s="7" t="s">
        <v>20</v>
      </c>
      <c r="H547" s="6">
        <v>144</v>
      </c>
      <c r="I547" s="7" t="s">
        <v>41</v>
      </c>
      <c r="J547" s="8">
        <f>3758400/144</f>
        <v>26100</v>
      </c>
      <c r="K547" s="4" t="s">
        <v>41</v>
      </c>
      <c r="M547" s="9">
        <v>0.17</v>
      </c>
      <c r="O547" s="7" t="s">
        <v>41</v>
      </c>
      <c r="P547" s="3">
        <f t="shared" si="132"/>
        <v>288</v>
      </c>
      <c r="Q547" s="7" t="s">
        <v>41</v>
      </c>
      <c r="R547" s="8">
        <f t="shared" si="133"/>
        <v>6238944</v>
      </c>
      <c r="S547" s="8">
        <f t="shared" si="128"/>
        <v>5620670.2702702694</v>
      </c>
    </row>
    <row r="548" spans="1:19">
      <c r="A548" s="17" t="s">
        <v>389</v>
      </c>
      <c r="B548" s="2" t="s">
        <v>25</v>
      </c>
      <c r="D548" s="4" t="s">
        <v>41</v>
      </c>
      <c r="F548" s="6">
        <v>1</v>
      </c>
      <c r="G548" s="7" t="s">
        <v>20</v>
      </c>
      <c r="H548" s="6">
        <v>144</v>
      </c>
      <c r="I548" s="7" t="s">
        <v>41</v>
      </c>
      <c r="J548" s="8">
        <f>3715200/144</f>
        <v>25800</v>
      </c>
      <c r="K548" s="4" t="s">
        <v>41</v>
      </c>
      <c r="M548" s="9">
        <v>0.17</v>
      </c>
      <c r="O548" s="7" t="s">
        <v>41</v>
      </c>
      <c r="P548" s="3">
        <f t="shared" si="132"/>
        <v>0</v>
      </c>
      <c r="Q548" s="7" t="s">
        <v>41</v>
      </c>
      <c r="R548" s="8">
        <f t="shared" si="133"/>
        <v>0</v>
      </c>
      <c r="S548" s="8">
        <f t="shared" si="128"/>
        <v>0</v>
      </c>
    </row>
    <row r="549" spans="1:19">
      <c r="A549" s="17" t="s">
        <v>400</v>
      </c>
      <c r="B549" s="2" t="s">
        <v>25</v>
      </c>
      <c r="C549" s="20"/>
      <c r="D549" s="4" t="s">
        <v>41</v>
      </c>
      <c r="F549" s="6">
        <v>1</v>
      </c>
      <c r="G549" s="7" t="s">
        <v>20</v>
      </c>
      <c r="H549" s="6">
        <v>144</v>
      </c>
      <c r="I549" s="7" t="s">
        <v>41</v>
      </c>
      <c r="J549" s="8">
        <v>25800</v>
      </c>
      <c r="K549" s="4" t="s">
        <v>41</v>
      </c>
      <c r="M549" s="9">
        <v>0.17</v>
      </c>
      <c r="O549" s="7" t="s">
        <v>41</v>
      </c>
      <c r="P549" s="3">
        <f t="shared" si="132"/>
        <v>0</v>
      </c>
      <c r="Q549" s="7" t="s">
        <v>41</v>
      </c>
      <c r="R549" s="8">
        <f t="shared" si="133"/>
        <v>0</v>
      </c>
      <c r="S549" s="8">
        <f>R549/1.11</f>
        <v>0</v>
      </c>
    </row>
    <row r="550" spans="1:19">
      <c r="A550" s="59" t="s">
        <v>809</v>
      </c>
      <c r="B550" s="2" t="s">
        <v>25</v>
      </c>
      <c r="D550" s="4" t="s">
        <v>41</v>
      </c>
      <c r="F550" s="6">
        <v>1</v>
      </c>
      <c r="G550" s="7" t="s">
        <v>20</v>
      </c>
      <c r="H550" s="6">
        <v>144</v>
      </c>
      <c r="I550" s="7" t="s">
        <v>41</v>
      </c>
      <c r="J550" s="8">
        <f>3628800/144</f>
        <v>25200</v>
      </c>
      <c r="K550" s="4" t="s">
        <v>41</v>
      </c>
      <c r="M550" s="9">
        <v>0.17</v>
      </c>
      <c r="O550" s="7" t="s">
        <v>41</v>
      </c>
      <c r="P550" s="3">
        <f t="shared" si="132"/>
        <v>0</v>
      </c>
      <c r="Q550" s="7" t="s">
        <v>41</v>
      </c>
      <c r="R550" s="8">
        <f t="shared" si="133"/>
        <v>0</v>
      </c>
      <c r="S550" s="8">
        <f t="shared" ref="S550" si="134">R550/1.11</f>
        <v>0</v>
      </c>
    </row>
    <row r="551" spans="1:19">
      <c r="A551" s="59" t="s">
        <v>390</v>
      </c>
      <c r="B551" s="2" t="s">
        <v>25</v>
      </c>
      <c r="D551" s="4" t="s">
        <v>41</v>
      </c>
      <c r="E551" s="5">
        <v>12</v>
      </c>
      <c r="F551" s="6">
        <v>1</v>
      </c>
      <c r="G551" s="7" t="s">
        <v>20</v>
      </c>
      <c r="H551" s="6">
        <v>144</v>
      </c>
      <c r="I551" s="7" t="s">
        <v>41</v>
      </c>
      <c r="J551" s="8">
        <f>3758400/144</f>
        <v>26100</v>
      </c>
      <c r="K551" s="4" t="s">
        <v>41</v>
      </c>
      <c r="M551" s="9">
        <v>0.17</v>
      </c>
      <c r="O551" s="7" t="s">
        <v>41</v>
      </c>
      <c r="P551" s="3">
        <f t="shared" si="132"/>
        <v>1728</v>
      </c>
      <c r="Q551" s="7" t="s">
        <v>41</v>
      </c>
      <c r="R551" s="8">
        <f t="shared" si="133"/>
        <v>37433664</v>
      </c>
      <c r="S551" s="8">
        <f t="shared" si="128"/>
        <v>33724021.621621616</v>
      </c>
    </row>
    <row r="552" spans="1:19">
      <c r="A552" s="59" t="s">
        <v>391</v>
      </c>
      <c r="B552" s="2" t="s">
        <v>25</v>
      </c>
      <c r="C552" s="20"/>
      <c r="D552" s="4" t="s">
        <v>41</v>
      </c>
      <c r="F552" s="6">
        <v>1</v>
      </c>
      <c r="G552" s="7" t="s">
        <v>20</v>
      </c>
      <c r="H552" s="6">
        <v>144</v>
      </c>
      <c r="I552" s="7" t="s">
        <v>41</v>
      </c>
      <c r="J552" s="8">
        <f>3628800/144</f>
        <v>25200</v>
      </c>
      <c r="K552" s="4" t="s">
        <v>41</v>
      </c>
      <c r="M552" s="9">
        <v>0.17</v>
      </c>
      <c r="O552" s="7" t="s">
        <v>41</v>
      </c>
      <c r="P552" s="3">
        <f t="shared" si="132"/>
        <v>0</v>
      </c>
      <c r="Q552" s="7" t="s">
        <v>41</v>
      </c>
      <c r="R552" s="8">
        <f t="shared" si="133"/>
        <v>0</v>
      </c>
      <c r="S552" s="8">
        <f t="shared" si="128"/>
        <v>0</v>
      </c>
    </row>
    <row r="553" spans="1:19">
      <c r="A553" s="59" t="s">
        <v>392</v>
      </c>
      <c r="B553" s="2" t="s">
        <v>25</v>
      </c>
      <c r="C553" s="20"/>
      <c r="D553" s="4" t="s">
        <v>41</v>
      </c>
      <c r="F553" s="6">
        <v>1</v>
      </c>
      <c r="G553" s="7" t="s">
        <v>20</v>
      </c>
      <c r="H553" s="6">
        <v>144</v>
      </c>
      <c r="I553" s="7" t="s">
        <v>41</v>
      </c>
      <c r="J553" s="8">
        <f>3628800/144</f>
        <v>25200</v>
      </c>
      <c r="K553" s="4" t="s">
        <v>41</v>
      </c>
      <c r="M553" s="9">
        <v>0.17</v>
      </c>
      <c r="O553" s="7" t="s">
        <v>41</v>
      </c>
      <c r="P553" s="3">
        <f t="shared" si="132"/>
        <v>0</v>
      </c>
      <c r="Q553" s="7" t="s">
        <v>41</v>
      </c>
      <c r="R553" s="8">
        <f t="shared" si="133"/>
        <v>0</v>
      </c>
      <c r="S553" s="8">
        <f t="shared" si="128"/>
        <v>0</v>
      </c>
    </row>
    <row r="554" spans="1:19" s="19" customFormat="1">
      <c r="A554" s="18" t="s">
        <v>393</v>
      </c>
      <c r="B554" s="19" t="s">
        <v>25</v>
      </c>
      <c r="C554" s="69"/>
      <c r="D554" s="21" t="s">
        <v>41</v>
      </c>
      <c r="E554" s="26">
        <v>22</v>
      </c>
      <c r="F554" s="22">
        <v>1</v>
      </c>
      <c r="G554" s="23" t="s">
        <v>20</v>
      </c>
      <c r="H554" s="22">
        <v>144</v>
      </c>
      <c r="I554" s="23" t="s">
        <v>41</v>
      </c>
      <c r="J554" s="24">
        <f>5616000/144</f>
        <v>39000</v>
      </c>
      <c r="K554" s="21" t="s">
        <v>41</v>
      </c>
      <c r="L554" s="25"/>
      <c r="M554" s="25">
        <v>0.17</v>
      </c>
      <c r="N554" s="22"/>
      <c r="O554" s="23" t="s">
        <v>41</v>
      </c>
      <c r="P554" s="20">
        <f t="shared" si="132"/>
        <v>3168</v>
      </c>
      <c r="Q554" s="23" t="s">
        <v>41</v>
      </c>
      <c r="R554" s="24">
        <f t="shared" si="133"/>
        <v>102548160</v>
      </c>
      <c r="S554" s="24">
        <f t="shared" si="128"/>
        <v>92385729.729729727</v>
      </c>
    </row>
    <row r="555" spans="1:19">
      <c r="A555" s="17" t="s">
        <v>394</v>
      </c>
      <c r="B555" s="2" t="s">
        <v>25</v>
      </c>
      <c r="C555" s="20"/>
      <c r="D555" s="4" t="s">
        <v>41</v>
      </c>
      <c r="F555" s="6">
        <v>1</v>
      </c>
      <c r="G555" s="7" t="s">
        <v>20</v>
      </c>
      <c r="H555" s="6">
        <v>144</v>
      </c>
      <c r="I555" s="7" t="s">
        <v>41</v>
      </c>
      <c r="J555" s="8">
        <f>5356800/144</f>
        <v>37200</v>
      </c>
      <c r="K555" s="4" t="s">
        <v>41</v>
      </c>
      <c r="M555" s="9">
        <v>0.17</v>
      </c>
      <c r="O555" s="7" t="s">
        <v>41</v>
      </c>
      <c r="P555" s="3">
        <f t="shared" si="132"/>
        <v>0</v>
      </c>
      <c r="Q555" s="7" t="s">
        <v>41</v>
      </c>
      <c r="R555" s="8">
        <f t="shared" si="133"/>
        <v>0</v>
      </c>
      <c r="S555" s="8">
        <f t="shared" si="128"/>
        <v>0</v>
      </c>
    </row>
    <row r="556" spans="1:19" s="19" customFormat="1">
      <c r="A556" s="18" t="s">
        <v>395</v>
      </c>
      <c r="B556" s="19" t="s">
        <v>25</v>
      </c>
      <c r="C556" s="20"/>
      <c r="D556" s="21" t="s">
        <v>41</v>
      </c>
      <c r="E556" s="26"/>
      <c r="F556" s="22">
        <v>1</v>
      </c>
      <c r="G556" s="23" t="s">
        <v>20</v>
      </c>
      <c r="H556" s="22">
        <v>144</v>
      </c>
      <c r="I556" s="23" t="s">
        <v>41</v>
      </c>
      <c r="J556" s="24">
        <f>5356800/144</f>
        <v>37200</v>
      </c>
      <c r="K556" s="21" t="s">
        <v>41</v>
      </c>
      <c r="L556" s="25"/>
      <c r="M556" s="25">
        <v>0.17</v>
      </c>
      <c r="N556" s="22"/>
      <c r="O556" s="23" t="s">
        <v>41</v>
      </c>
      <c r="P556" s="20">
        <f t="shared" si="132"/>
        <v>0</v>
      </c>
      <c r="Q556" s="23" t="s">
        <v>41</v>
      </c>
      <c r="R556" s="24">
        <f t="shared" si="133"/>
        <v>0</v>
      </c>
      <c r="S556" s="24">
        <f t="shared" si="128"/>
        <v>0</v>
      </c>
    </row>
    <row r="557" spans="1:19" s="19" customFormat="1">
      <c r="A557" s="18" t="s">
        <v>776</v>
      </c>
      <c r="B557" s="19" t="s">
        <v>25</v>
      </c>
      <c r="C557" s="69"/>
      <c r="D557" s="21" t="s">
        <v>41</v>
      </c>
      <c r="E557" s="26"/>
      <c r="F557" s="22">
        <v>1</v>
      </c>
      <c r="G557" s="23" t="s">
        <v>20</v>
      </c>
      <c r="H557" s="22">
        <v>144</v>
      </c>
      <c r="I557" s="23" t="s">
        <v>41</v>
      </c>
      <c r="J557" s="24">
        <f>5702400/144</f>
        <v>39600</v>
      </c>
      <c r="K557" s="21" t="s">
        <v>41</v>
      </c>
      <c r="L557" s="25"/>
      <c r="M557" s="25">
        <v>0.17</v>
      </c>
      <c r="N557" s="22"/>
      <c r="O557" s="23" t="s">
        <v>41</v>
      </c>
      <c r="P557" s="20">
        <f t="shared" si="132"/>
        <v>0</v>
      </c>
      <c r="Q557" s="23" t="s">
        <v>41</v>
      </c>
      <c r="R557" s="24">
        <f t="shared" si="133"/>
        <v>0</v>
      </c>
      <c r="S557" s="24">
        <f t="shared" si="128"/>
        <v>0</v>
      </c>
    </row>
    <row r="558" spans="1:19" s="19" customFormat="1">
      <c r="A558" s="18" t="s">
        <v>777</v>
      </c>
      <c r="B558" s="19" t="s">
        <v>25</v>
      </c>
      <c r="C558" s="69"/>
      <c r="D558" s="21" t="s">
        <v>41</v>
      </c>
      <c r="E558" s="26">
        <v>1</v>
      </c>
      <c r="F558" s="22">
        <v>1</v>
      </c>
      <c r="G558" s="23" t="s">
        <v>20</v>
      </c>
      <c r="H558" s="22">
        <v>144</v>
      </c>
      <c r="I558" s="23" t="s">
        <v>41</v>
      </c>
      <c r="J558" s="24">
        <f>5702400/144</f>
        <v>39600</v>
      </c>
      <c r="K558" s="21" t="s">
        <v>41</v>
      </c>
      <c r="L558" s="25"/>
      <c r="M558" s="25">
        <v>0.17</v>
      </c>
      <c r="N558" s="22"/>
      <c r="O558" s="23" t="s">
        <v>41</v>
      </c>
      <c r="P558" s="20">
        <f t="shared" si="132"/>
        <v>144</v>
      </c>
      <c r="Q558" s="23" t="s">
        <v>41</v>
      </c>
      <c r="R558" s="24">
        <f t="shared" si="133"/>
        <v>4732992</v>
      </c>
      <c r="S558" s="24">
        <f t="shared" si="128"/>
        <v>4263956.7567567565</v>
      </c>
    </row>
    <row r="559" spans="1:19" s="19" customFormat="1">
      <c r="A559" s="18" t="s">
        <v>396</v>
      </c>
      <c r="B559" s="19" t="s">
        <v>25</v>
      </c>
      <c r="C559" s="20"/>
      <c r="D559" s="21" t="s">
        <v>41</v>
      </c>
      <c r="E559" s="26">
        <v>2</v>
      </c>
      <c r="F559" s="22">
        <v>1</v>
      </c>
      <c r="G559" s="23" t="s">
        <v>20</v>
      </c>
      <c r="H559" s="22">
        <v>144</v>
      </c>
      <c r="I559" s="23" t="s">
        <v>41</v>
      </c>
      <c r="J559" s="24">
        <f>5702400/144</f>
        <v>39600</v>
      </c>
      <c r="K559" s="21" t="s">
        <v>41</v>
      </c>
      <c r="L559" s="25"/>
      <c r="M559" s="25">
        <v>0.17</v>
      </c>
      <c r="N559" s="22"/>
      <c r="O559" s="23" t="s">
        <v>41</v>
      </c>
      <c r="P559" s="20">
        <f t="shared" si="132"/>
        <v>288</v>
      </c>
      <c r="Q559" s="23" t="s">
        <v>41</v>
      </c>
      <c r="R559" s="24">
        <f t="shared" si="133"/>
        <v>9465984</v>
      </c>
      <c r="S559" s="24">
        <f t="shared" si="128"/>
        <v>8527913.5135135129</v>
      </c>
    </row>
    <row r="560" spans="1:19">
      <c r="A560" s="17" t="s">
        <v>397</v>
      </c>
      <c r="B560" s="2" t="s">
        <v>25</v>
      </c>
      <c r="D560" s="4" t="s">
        <v>41</v>
      </c>
      <c r="F560" s="6">
        <v>1</v>
      </c>
      <c r="G560" s="7" t="s">
        <v>20</v>
      </c>
      <c r="H560" s="6">
        <v>144</v>
      </c>
      <c r="I560" s="7" t="s">
        <v>41</v>
      </c>
      <c r="J560" s="8">
        <f>2764800/144</f>
        <v>19200</v>
      </c>
      <c r="K560" s="4" t="s">
        <v>41</v>
      </c>
      <c r="M560" s="9">
        <v>0.17</v>
      </c>
      <c r="O560" s="7" t="s">
        <v>41</v>
      </c>
      <c r="P560" s="3">
        <f t="shared" si="132"/>
        <v>0</v>
      </c>
      <c r="Q560" s="7" t="s">
        <v>41</v>
      </c>
      <c r="R560" s="8">
        <f t="shared" si="133"/>
        <v>0</v>
      </c>
      <c r="S560" s="8">
        <f t="shared" si="128"/>
        <v>0</v>
      </c>
    </row>
    <row r="561" spans="1:19">
      <c r="A561" s="17" t="s">
        <v>398</v>
      </c>
      <c r="B561" s="2" t="s">
        <v>25</v>
      </c>
      <c r="D561" s="4" t="s">
        <v>41</v>
      </c>
      <c r="F561" s="6">
        <v>1</v>
      </c>
      <c r="G561" s="7" t="s">
        <v>20</v>
      </c>
      <c r="H561" s="6">
        <v>144</v>
      </c>
      <c r="I561" s="7" t="s">
        <v>41</v>
      </c>
      <c r="J561" s="8">
        <f>2764800/144</f>
        <v>19200</v>
      </c>
      <c r="K561" s="4" t="s">
        <v>41</v>
      </c>
      <c r="M561" s="9">
        <v>0.17</v>
      </c>
      <c r="O561" s="7" t="s">
        <v>41</v>
      </c>
      <c r="P561" s="3">
        <f t="shared" si="132"/>
        <v>0</v>
      </c>
      <c r="Q561" s="7" t="s">
        <v>41</v>
      </c>
      <c r="R561" s="8">
        <f t="shared" si="133"/>
        <v>0</v>
      </c>
      <c r="S561" s="8">
        <f t="shared" si="128"/>
        <v>0</v>
      </c>
    </row>
    <row r="562" spans="1:19">
      <c r="A562" s="17" t="s">
        <v>399</v>
      </c>
      <c r="B562" s="2" t="s">
        <v>25</v>
      </c>
      <c r="D562" s="4" t="s">
        <v>41</v>
      </c>
      <c r="F562" s="6">
        <v>1</v>
      </c>
      <c r="G562" s="7" t="s">
        <v>20</v>
      </c>
      <c r="H562" s="6">
        <v>144</v>
      </c>
      <c r="I562" s="7" t="s">
        <v>41</v>
      </c>
      <c r="J562" s="8">
        <v>23400</v>
      </c>
      <c r="K562" s="4" t="s">
        <v>41</v>
      </c>
      <c r="M562" s="9">
        <v>0.17</v>
      </c>
      <c r="O562" s="7" t="s">
        <v>41</v>
      </c>
      <c r="P562" s="3">
        <f t="shared" si="132"/>
        <v>0</v>
      </c>
      <c r="Q562" s="7" t="s">
        <v>41</v>
      </c>
      <c r="R562" s="8">
        <f t="shared" si="133"/>
        <v>0</v>
      </c>
      <c r="S562" s="8">
        <f t="shared" si="128"/>
        <v>0</v>
      </c>
    </row>
    <row r="563" spans="1:19" s="19" customFormat="1">
      <c r="A563" s="18" t="s">
        <v>401</v>
      </c>
      <c r="B563" s="19" t="s">
        <v>25</v>
      </c>
      <c r="C563" s="20"/>
      <c r="D563" s="21" t="s">
        <v>41</v>
      </c>
      <c r="E563" s="26">
        <v>1</v>
      </c>
      <c r="F563" s="22">
        <v>1</v>
      </c>
      <c r="G563" s="23" t="s">
        <v>20</v>
      </c>
      <c r="H563" s="22">
        <v>144</v>
      </c>
      <c r="I563" s="23" t="s">
        <v>41</v>
      </c>
      <c r="J563" s="24">
        <f>3542400/144</f>
        <v>24600</v>
      </c>
      <c r="K563" s="21" t="s">
        <v>41</v>
      </c>
      <c r="L563" s="25"/>
      <c r="M563" s="25">
        <v>0.17</v>
      </c>
      <c r="N563" s="22"/>
      <c r="O563" s="23" t="s">
        <v>41</v>
      </c>
      <c r="P563" s="20">
        <f t="shared" si="132"/>
        <v>144</v>
      </c>
      <c r="Q563" s="23" t="s">
        <v>41</v>
      </c>
      <c r="R563" s="24">
        <f t="shared" si="133"/>
        <v>2940192</v>
      </c>
      <c r="S563" s="24">
        <f t="shared" si="128"/>
        <v>2648821.6216216213</v>
      </c>
    </row>
    <row r="564" spans="1:19" s="19" customFormat="1">
      <c r="A564" s="18" t="s">
        <v>402</v>
      </c>
      <c r="B564" s="19" t="s">
        <v>25</v>
      </c>
      <c r="C564" s="20"/>
      <c r="D564" s="21" t="s">
        <v>41</v>
      </c>
      <c r="E564" s="26">
        <v>17</v>
      </c>
      <c r="F564" s="22">
        <v>1</v>
      </c>
      <c r="G564" s="23" t="s">
        <v>20</v>
      </c>
      <c r="H564" s="22">
        <v>144</v>
      </c>
      <c r="I564" s="23" t="s">
        <v>41</v>
      </c>
      <c r="J564" s="24">
        <f>3110400/144</f>
        <v>21600</v>
      </c>
      <c r="K564" s="21" t="s">
        <v>41</v>
      </c>
      <c r="L564" s="25"/>
      <c r="M564" s="25">
        <v>0.17</v>
      </c>
      <c r="N564" s="22"/>
      <c r="O564" s="23" t="s">
        <v>41</v>
      </c>
      <c r="P564" s="20">
        <f t="shared" si="132"/>
        <v>2448</v>
      </c>
      <c r="Q564" s="23" t="s">
        <v>41</v>
      </c>
      <c r="R564" s="24">
        <f t="shared" si="133"/>
        <v>43887744</v>
      </c>
      <c r="S564" s="24">
        <f t="shared" si="128"/>
        <v>39538508.108108103</v>
      </c>
    </row>
    <row r="565" spans="1:19" s="19" customFormat="1">
      <c r="A565" s="18" t="s">
        <v>811</v>
      </c>
      <c r="B565" s="19" t="s">
        <v>25</v>
      </c>
      <c r="C565" s="20"/>
      <c r="D565" s="21" t="s">
        <v>41</v>
      </c>
      <c r="E565" s="26">
        <v>4</v>
      </c>
      <c r="F565" s="22">
        <v>1</v>
      </c>
      <c r="G565" s="23" t="s">
        <v>20</v>
      </c>
      <c r="H565" s="22">
        <v>144</v>
      </c>
      <c r="I565" s="23" t="s">
        <v>41</v>
      </c>
      <c r="J565" s="24">
        <f>3456000/144</f>
        <v>24000</v>
      </c>
      <c r="K565" s="21" t="s">
        <v>41</v>
      </c>
      <c r="L565" s="25"/>
      <c r="M565" s="25">
        <v>0.17</v>
      </c>
      <c r="N565" s="22"/>
      <c r="O565" s="23" t="s">
        <v>41</v>
      </c>
      <c r="P565" s="20">
        <f t="shared" si="132"/>
        <v>576</v>
      </c>
      <c r="Q565" s="23" t="s">
        <v>41</v>
      </c>
      <c r="R565" s="24">
        <f t="shared" si="133"/>
        <v>11473920</v>
      </c>
      <c r="S565" s="24">
        <f t="shared" si="128"/>
        <v>10336864.864864863</v>
      </c>
    </row>
    <row r="566" spans="1:19" s="19" customFormat="1">
      <c r="A566" s="18" t="s">
        <v>403</v>
      </c>
      <c r="B566" s="19" t="s">
        <v>25</v>
      </c>
      <c r="C566" s="20"/>
      <c r="D566" s="21" t="s">
        <v>41</v>
      </c>
      <c r="E566" s="26"/>
      <c r="F566" s="22">
        <v>1</v>
      </c>
      <c r="G566" s="23" t="s">
        <v>20</v>
      </c>
      <c r="H566" s="22">
        <v>144</v>
      </c>
      <c r="I566" s="23" t="s">
        <v>41</v>
      </c>
      <c r="J566" s="24">
        <f>3758400/144</f>
        <v>26100</v>
      </c>
      <c r="K566" s="21" t="s">
        <v>41</v>
      </c>
      <c r="L566" s="25"/>
      <c r="M566" s="25">
        <v>0.17</v>
      </c>
      <c r="N566" s="22"/>
      <c r="O566" s="23" t="s">
        <v>41</v>
      </c>
      <c r="P566" s="20">
        <f t="shared" si="132"/>
        <v>0</v>
      </c>
      <c r="Q566" s="23" t="s">
        <v>41</v>
      </c>
      <c r="R566" s="24">
        <f t="shared" si="133"/>
        <v>0</v>
      </c>
      <c r="S566" s="24">
        <f t="shared" si="128"/>
        <v>0</v>
      </c>
    </row>
    <row r="567" spans="1:19" s="19" customFormat="1">
      <c r="A567" s="18" t="s">
        <v>716</v>
      </c>
      <c r="B567" s="19" t="s">
        <v>25</v>
      </c>
      <c r="C567" s="20"/>
      <c r="D567" s="21" t="s">
        <v>41</v>
      </c>
      <c r="E567" s="26"/>
      <c r="F567" s="22">
        <v>1</v>
      </c>
      <c r="G567" s="23" t="s">
        <v>20</v>
      </c>
      <c r="H567" s="22">
        <v>144</v>
      </c>
      <c r="I567" s="23" t="s">
        <v>41</v>
      </c>
      <c r="J567" s="24">
        <f>5616000/144</f>
        <v>39000</v>
      </c>
      <c r="K567" s="21" t="s">
        <v>41</v>
      </c>
      <c r="L567" s="25"/>
      <c r="M567" s="25">
        <v>0.17</v>
      </c>
      <c r="N567" s="22"/>
      <c r="O567" s="23" t="s">
        <v>41</v>
      </c>
      <c r="P567" s="20">
        <f t="shared" si="132"/>
        <v>0</v>
      </c>
      <c r="Q567" s="23" t="s">
        <v>41</v>
      </c>
      <c r="R567" s="24">
        <f t="shared" si="133"/>
        <v>0</v>
      </c>
      <c r="S567" s="24">
        <f t="shared" si="128"/>
        <v>0</v>
      </c>
    </row>
    <row r="568" spans="1:19" s="19" customFormat="1">
      <c r="A568" s="18" t="s">
        <v>404</v>
      </c>
      <c r="B568" s="19" t="s">
        <v>25</v>
      </c>
      <c r="C568" s="20"/>
      <c r="D568" s="21" t="s">
        <v>41</v>
      </c>
      <c r="E568" s="26">
        <v>2</v>
      </c>
      <c r="F568" s="22">
        <v>1</v>
      </c>
      <c r="G568" s="23" t="s">
        <v>20</v>
      </c>
      <c r="H568" s="22">
        <v>144</v>
      </c>
      <c r="I568" s="23" t="s">
        <v>41</v>
      </c>
      <c r="J568" s="24">
        <f>5270400/144</f>
        <v>36600</v>
      </c>
      <c r="K568" s="21" t="s">
        <v>41</v>
      </c>
      <c r="L568" s="25"/>
      <c r="M568" s="25">
        <v>0.17</v>
      </c>
      <c r="N568" s="22"/>
      <c r="O568" s="23" t="s">
        <v>41</v>
      </c>
      <c r="P568" s="20">
        <f t="shared" si="132"/>
        <v>288</v>
      </c>
      <c r="Q568" s="23" t="s">
        <v>41</v>
      </c>
      <c r="R568" s="24">
        <f t="shared" si="133"/>
        <v>8748864</v>
      </c>
      <c r="S568" s="24">
        <f t="shared" si="128"/>
        <v>7881859.4594594585</v>
      </c>
    </row>
    <row r="569" spans="1:19" s="19" customFormat="1">
      <c r="A569" s="18" t="s">
        <v>405</v>
      </c>
      <c r="B569" s="19" t="s">
        <v>25</v>
      </c>
      <c r="C569" s="20"/>
      <c r="D569" s="21" t="s">
        <v>41</v>
      </c>
      <c r="E569" s="26"/>
      <c r="F569" s="22">
        <v>1</v>
      </c>
      <c r="G569" s="23" t="s">
        <v>20</v>
      </c>
      <c r="H569" s="22">
        <v>144</v>
      </c>
      <c r="I569" s="23" t="s">
        <v>41</v>
      </c>
      <c r="J569" s="24">
        <f>5616000/144</f>
        <v>39000</v>
      </c>
      <c r="K569" s="21" t="s">
        <v>41</v>
      </c>
      <c r="L569" s="25"/>
      <c r="M569" s="25">
        <v>0.17</v>
      </c>
      <c r="N569" s="22"/>
      <c r="O569" s="23" t="s">
        <v>41</v>
      </c>
      <c r="P569" s="20">
        <f t="shared" si="132"/>
        <v>0</v>
      </c>
      <c r="Q569" s="23" t="s">
        <v>41</v>
      </c>
      <c r="R569" s="24">
        <f t="shared" si="133"/>
        <v>0</v>
      </c>
      <c r="S569" s="24">
        <f t="shared" si="128"/>
        <v>0</v>
      </c>
    </row>
    <row r="570" spans="1:19">
      <c r="A570" s="17" t="s">
        <v>406</v>
      </c>
      <c r="B570" s="2" t="s">
        <v>25</v>
      </c>
      <c r="D570" s="4" t="s">
        <v>41</v>
      </c>
      <c r="E570" s="5">
        <v>2</v>
      </c>
      <c r="F570" s="6">
        <v>1</v>
      </c>
      <c r="G570" s="7" t="s">
        <v>20</v>
      </c>
      <c r="H570" s="6">
        <v>144</v>
      </c>
      <c r="I570" s="7" t="s">
        <v>41</v>
      </c>
      <c r="J570" s="8">
        <f>5616000/144</f>
        <v>39000</v>
      </c>
      <c r="K570" s="4" t="s">
        <v>41</v>
      </c>
      <c r="M570" s="9">
        <v>0.17</v>
      </c>
      <c r="O570" s="7" t="s">
        <v>41</v>
      </c>
      <c r="P570" s="3">
        <f t="shared" si="132"/>
        <v>288</v>
      </c>
      <c r="Q570" s="7" t="s">
        <v>41</v>
      </c>
      <c r="R570" s="8">
        <f t="shared" si="133"/>
        <v>9322560</v>
      </c>
      <c r="S570" s="8">
        <f t="shared" si="128"/>
        <v>8398702.7027027011</v>
      </c>
    </row>
    <row r="572" spans="1:19" s="19" customFormat="1">
      <c r="A572" s="18" t="s">
        <v>408</v>
      </c>
      <c r="B572" s="19" t="s">
        <v>266</v>
      </c>
      <c r="C572" s="20"/>
      <c r="D572" s="21" t="s">
        <v>41</v>
      </c>
      <c r="E572" s="26"/>
      <c r="F572" s="22">
        <v>1</v>
      </c>
      <c r="G572" s="23" t="s">
        <v>20</v>
      </c>
      <c r="H572" s="22">
        <v>144</v>
      </c>
      <c r="I572" s="23" t="s">
        <v>41</v>
      </c>
      <c r="J572" s="24">
        <v>22500</v>
      </c>
      <c r="K572" s="21" t="s">
        <v>41</v>
      </c>
      <c r="L572" s="25"/>
      <c r="M572" s="25"/>
      <c r="N572" s="22"/>
      <c r="O572" s="23" t="s">
        <v>41</v>
      </c>
      <c r="P572" s="20">
        <f t="shared" ref="P572:P600" si="135">(C572+(E572*F572*H572))-N572</f>
        <v>0</v>
      </c>
      <c r="Q572" s="23" t="s">
        <v>41</v>
      </c>
      <c r="R572" s="24">
        <f t="shared" ref="R572:R600" si="136">P572*(J572-(J572*L572)-((J572-(J572*L572))*M572))</f>
        <v>0</v>
      </c>
      <c r="S572" s="24">
        <f t="shared" si="128"/>
        <v>0</v>
      </c>
    </row>
    <row r="573" spans="1:19">
      <c r="A573" s="17" t="s">
        <v>409</v>
      </c>
      <c r="B573" s="2" t="s">
        <v>266</v>
      </c>
      <c r="D573" s="4" t="s">
        <v>41</v>
      </c>
      <c r="F573" s="6">
        <v>1</v>
      </c>
      <c r="G573" s="7" t="s">
        <v>20</v>
      </c>
      <c r="H573" s="6">
        <v>144</v>
      </c>
      <c r="I573" s="7" t="s">
        <v>41</v>
      </c>
      <c r="J573" s="8">
        <v>26000</v>
      </c>
      <c r="K573" s="4" t="s">
        <v>41</v>
      </c>
      <c r="O573" s="7" t="s">
        <v>41</v>
      </c>
      <c r="P573" s="3">
        <f t="shared" si="135"/>
        <v>0</v>
      </c>
      <c r="Q573" s="7" t="s">
        <v>41</v>
      </c>
      <c r="R573" s="8">
        <f t="shared" si="136"/>
        <v>0</v>
      </c>
      <c r="S573" s="8">
        <f t="shared" si="128"/>
        <v>0</v>
      </c>
    </row>
    <row r="574" spans="1:19" s="19" customFormat="1">
      <c r="A574" s="18" t="s">
        <v>410</v>
      </c>
      <c r="B574" s="19" t="s">
        <v>266</v>
      </c>
      <c r="C574" s="20"/>
      <c r="D574" s="21" t="s">
        <v>41</v>
      </c>
      <c r="E574" s="26"/>
      <c r="F574" s="22">
        <v>1</v>
      </c>
      <c r="G574" s="23" t="s">
        <v>20</v>
      </c>
      <c r="H574" s="22">
        <v>96</v>
      </c>
      <c r="I574" s="23" t="s">
        <v>41</v>
      </c>
      <c r="J574" s="24">
        <v>31500</v>
      </c>
      <c r="K574" s="21" t="s">
        <v>41</v>
      </c>
      <c r="L574" s="25"/>
      <c r="M574" s="25"/>
      <c r="N574" s="22"/>
      <c r="O574" s="23" t="s">
        <v>41</v>
      </c>
      <c r="P574" s="20">
        <f t="shared" si="135"/>
        <v>0</v>
      </c>
      <c r="Q574" s="23" t="s">
        <v>41</v>
      </c>
      <c r="R574" s="24">
        <f t="shared" si="136"/>
        <v>0</v>
      </c>
      <c r="S574" s="24">
        <f t="shared" si="128"/>
        <v>0</v>
      </c>
    </row>
    <row r="575" spans="1:19">
      <c r="A575" s="17" t="s">
        <v>722</v>
      </c>
      <c r="B575" s="2" t="s">
        <v>266</v>
      </c>
      <c r="D575" s="4" t="s">
        <v>41</v>
      </c>
      <c r="F575" s="6">
        <v>1</v>
      </c>
      <c r="G575" s="7" t="s">
        <v>20</v>
      </c>
      <c r="H575" s="6">
        <v>144</v>
      </c>
      <c r="I575" s="7" t="s">
        <v>41</v>
      </c>
      <c r="J575" s="8">
        <f>31818+(31818*10%)</f>
        <v>34999.800000000003</v>
      </c>
      <c r="K575" s="4" t="s">
        <v>41</v>
      </c>
      <c r="O575" s="7" t="s">
        <v>41</v>
      </c>
      <c r="P575" s="3">
        <f t="shared" si="135"/>
        <v>0</v>
      </c>
      <c r="Q575" s="7" t="s">
        <v>41</v>
      </c>
      <c r="R575" s="8">
        <f t="shared" si="136"/>
        <v>0</v>
      </c>
      <c r="S575" s="8">
        <f t="shared" si="128"/>
        <v>0</v>
      </c>
    </row>
    <row r="576" spans="1:19">
      <c r="A576" s="17" t="s">
        <v>723</v>
      </c>
      <c r="B576" s="2" t="s">
        <v>266</v>
      </c>
      <c r="D576" s="4" t="s">
        <v>41</v>
      </c>
      <c r="F576" s="6">
        <v>1</v>
      </c>
      <c r="G576" s="7" t="s">
        <v>20</v>
      </c>
      <c r="H576" s="6">
        <v>144</v>
      </c>
      <c r="I576" s="7" t="s">
        <v>41</v>
      </c>
      <c r="J576" s="8">
        <v>16175</v>
      </c>
      <c r="K576" s="4" t="s">
        <v>41</v>
      </c>
      <c r="O576" s="7" t="s">
        <v>41</v>
      </c>
      <c r="P576" s="3">
        <f t="shared" si="135"/>
        <v>0</v>
      </c>
      <c r="Q576" s="7" t="s">
        <v>41</v>
      </c>
      <c r="R576" s="8">
        <f t="shared" si="136"/>
        <v>0</v>
      </c>
      <c r="S576" s="8">
        <f t="shared" si="128"/>
        <v>0</v>
      </c>
    </row>
    <row r="577" spans="1:19">
      <c r="A577" s="17" t="s">
        <v>724</v>
      </c>
      <c r="B577" s="2" t="s">
        <v>266</v>
      </c>
      <c r="D577" s="4" t="s">
        <v>41</v>
      </c>
      <c r="F577" s="6">
        <v>1</v>
      </c>
      <c r="G577" s="7" t="s">
        <v>20</v>
      </c>
      <c r="H577" s="6">
        <v>144</v>
      </c>
      <c r="I577" s="7" t="s">
        <v>41</v>
      </c>
      <c r="J577" s="8">
        <v>16175</v>
      </c>
      <c r="K577" s="4" t="s">
        <v>41</v>
      </c>
      <c r="O577" s="7" t="s">
        <v>41</v>
      </c>
      <c r="P577" s="3">
        <f t="shared" si="135"/>
        <v>0</v>
      </c>
      <c r="Q577" s="7" t="s">
        <v>41</v>
      </c>
      <c r="R577" s="8">
        <f t="shared" si="136"/>
        <v>0</v>
      </c>
      <c r="S577" s="8">
        <f t="shared" si="128"/>
        <v>0</v>
      </c>
    </row>
    <row r="578" spans="1:19">
      <c r="A578" s="17" t="s">
        <v>725</v>
      </c>
      <c r="B578" s="2" t="s">
        <v>266</v>
      </c>
      <c r="D578" s="4" t="s">
        <v>41</v>
      </c>
      <c r="F578" s="6">
        <v>1</v>
      </c>
      <c r="G578" s="7" t="s">
        <v>20</v>
      </c>
      <c r="H578" s="6">
        <v>144</v>
      </c>
      <c r="I578" s="7" t="s">
        <v>41</v>
      </c>
      <c r="J578" s="8">
        <v>16175</v>
      </c>
      <c r="K578" s="4" t="s">
        <v>41</v>
      </c>
      <c r="O578" s="7" t="s">
        <v>41</v>
      </c>
      <c r="P578" s="3">
        <f t="shared" si="135"/>
        <v>0</v>
      </c>
      <c r="Q578" s="7" t="s">
        <v>41</v>
      </c>
      <c r="R578" s="8">
        <f t="shared" si="136"/>
        <v>0</v>
      </c>
      <c r="S578" s="8">
        <f t="shared" si="128"/>
        <v>0</v>
      </c>
    </row>
    <row r="579" spans="1:19">
      <c r="A579" s="17" t="s">
        <v>726</v>
      </c>
      <c r="B579" s="2" t="s">
        <v>266</v>
      </c>
      <c r="D579" s="4" t="s">
        <v>41</v>
      </c>
      <c r="F579" s="6">
        <v>1</v>
      </c>
      <c r="G579" s="7" t="s">
        <v>20</v>
      </c>
      <c r="H579" s="6">
        <v>144</v>
      </c>
      <c r="I579" s="7" t="s">
        <v>41</v>
      </c>
      <c r="J579" s="8">
        <v>16175</v>
      </c>
      <c r="K579" s="4" t="s">
        <v>41</v>
      </c>
      <c r="O579" s="7" t="s">
        <v>41</v>
      </c>
      <c r="P579" s="3">
        <f t="shared" si="135"/>
        <v>0</v>
      </c>
      <c r="Q579" s="7" t="s">
        <v>41</v>
      </c>
      <c r="R579" s="8">
        <f t="shared" si="136"/>
        <v>0</v>
      </c>
      <c r="S579" s="8">
        <f t="shared" si="128"/>
        <v>0</v>
      </c>
    </row>
    <row r="580" spans="1:19">
      <c r="A580" s="17" t="s">
        <v>727</v>
      </c>
      <c r="B580" s="2" t="s">
        <v>266</v>
      </c>
      <c r="D580" s="4" t="s">
        <v>41</v>
      </c>
      <c r="F580" s="6">
        <v>1</v>
      </c>
      <c r="G580" s="7" t="s">
        <v>20</v>
      </c>
      <c r="H580" s="6">
        <v>144</v>
      </c>
      <c r="I580" s="7" t="s">
        <v>41</v>
      </c>
      <c r="J580" s="8">
        <v>16175</v>
      </c>
      <c r="K580" s="4" t="s">
        <v>41</v>
      </c>
      <c r="O580" s="7" t="s">
        <v>41</v>
      </c>
      <c r="P580" s="3">
        <f t="shared" si="135"/>
        <v>0</v>
      </c>
      <c r="Q580" s="7" t="s">
        <v>41</v>
      </c>
      <c r="R580" s="8">
        <f t="shared" si="136"/>
        <v>0</v>
      </c>
      <c r="S580" s="8">
        <f t="shared" si="128"/>
        <v>0</v>
      </c>
    </row>
    <row r="581" spans="1:19">
      <c r="A581" s="17" t="s">
        <v>728</v>
      </c>
      <c r="B581" s="2" t="s">
        <v>266</v>
      </c>
      <c r="D581" s="4" t="s">
        <v>41</v>
      </c>
      <c r="F581" s="6">
        <v>1</v>
      </c>
      <c r="G581" s="7" t="s">
        <v>20</v>
      </c>
      <c r="H581" s="6">
        <v>144</v>
      </c>
      <c r="I581" s="7" t="s">
        <v>41</v>
      </c>
      <c r="J581" s="8">
        <v>16175</v>
      </c>
      <c r="K581" s="4" t="s">
        <v>41</v>
      </c>
      <c r="O581" s="7" t="s">
        <v>41</v>
      </c>
      <c r="P581" s="3">
        <f t="shared" si="135"/>
        <v>0</v>
      </c>
      <c r="Q581" s="7" t="s">
        <v>41</v>
      </c>
      <c r="R581" s="8">
        <f t="shared" si="136"/>
        <v>0</v>
      </c>
      <c r="S581" s="8">
        <f t="shared" si="128"/>
        <v>0</v>
      </c>
    </row>
    <row r="582" spans="1:19">
      <c r="A582" s="17" t="s">
        <v>729</v>
      </c>
      <c r="B582" s="2" t="s">
        <v>266</v>
      </c>
      <c r="D582" s="4" t="s">
        <v>41</v>
      </c>
      <c r="F582" s="6">
        <v>1</v>
      </c>
      <c r="G582" s="7" t="s">
        <v>20</v>
      </c>
      <c r="H582" s="6">
        <v>144</v>
      </c>
      <c r="I582" s="7" t="s">
        <v>41</v>
      </c>
      <c r="J582" s="8">
        <v>16175</v>
      </c>
      <c r="K582" s="4" t="s">
        <v>41</v>
      </c>
      <c r="O582" s="7" t="s">
        <v>41</v>
      </c>
      <c r="P582" s="3">
        <f t="shared" si="135"/>
        <v>0</v>
      </c>
      <c r="Q582" s="7" t="s">
        <v>41</v>
      </c>
      <c r="R582" s="8">
        <f t="shared" si="136"/>
        <v>0</v>
      </c>
      <c r="S582" s="8">
        <f t="shared" si="128"/>
        <v>0</v>
      </c>
    </row>
    <row r="583" spans="1:19">
      <c r="A583" s="17" t="s">
        <v>730</v>
      </c>
      <c r="B583" s="2" t="s">
        <v>266</v>
      </c>
      <c r="D583" s="4" t="s">
        <v>41</v>
      </c>
      <c r="F583" s="6">
        <v>1</v>
      </c>
      <c r="G583" s="7" t="s">
        <v>20</v>
      </c>
      <c r="H583" s="6">
        <v>144</v>
      </c>
      <c r="I583" s="7" t="s">
        <v>41</v>
      </c>
      <c r="J583" s="8">
        <v>16175</v>
      </c>
      <c r="K583" s="4" t="s">
        <v>41</v>
      </c>
      <c r="O583" s="7" t="s">
        <v>41</v>
      </c>
      <c r="P583" s="3">
        <f t="shared" si="135"/>
        <v>0</v>
      </c>
      <c r="Q583" s="7" t="s">
        <v>41</v>
      </c>
      <c r="R583" s="8">
        <f t="shared" si="136"/>
        <v>0</v>
      </c>
      <c r="S583" s="8">
        <f t="shared" si="128"/>
        <v>0</v>
      </c>
    </row>
    <row r="584" spans="1:19">
      <c r="A584" s="17" t="s">
        <v>731</v>
      </c>
      <c r="B584" s="2" t="s">
        <v>266</v>
      </c>
      <c r="D584" s="4" t="s">
        <v>41</v>
      </c>
      <c r="F584" s="6">
        <v>1</v>
      </c>
      <c r="G584" s="7" t="s">
        <v>20</v>
      </c>
      <c r="H584" s="6">
        <v>144</v>
      </c>
      <c r="I584" s="7" t="s">
        <v>41</v>
      </c>
      <c r="J584" s="8">
        <v>16175</v>
      </c>
      <c r="K584" s="4" t="s">
        <v>41</v>
      </c>
      <c r="O584" s="7" t="s">
        <v>41</v>
      </c>
      <c r="P584" s="3">
        <f t="shared" si="135"/>
        <v>0</v>
      </c>
      <c r="Q584" s="7" t="s">
        <v>41</v>
      </c>
      <c r="R584" s="8">
        <f t="shared" si="136"/>
        <v>0</v>
      </c>
      <c r="S584" s="8">
        <f t="shared" si="128"/>
        <v>0</v>
      </c>
    </row>
    <row r="585" spans="1:19">
      <c r="A585" s="17" t="s">
        <v>732</v>
      </c>
      <c r="B585" s="2" t="s">
        <v>266</v>
      </c>
      <c r="D585" s="4" t="s">
        <v>41</v>
      </c>
      <c r="F585" s="6">
        <v>1</v>
      </c>
      <c r="G585" s="7" t="s">
        <v>20</v>
      </c>
      <c r="H585" s="6">
        <v>144</v>
      </c>
      <c r="I585" s="7" t="s">
        <v>41</v>
      </c>
      <c r="J585" s="8">
        <v>16175</v>
      </c>
      <c r="K585" s="4" t="s">
        <v>41</v>
      </c>
      <c r="O585" s="7" t="s">
        <v>41</v>
      </c>
      <c r="P585" s="3">
        <f t="shared" si="135"/>
        <v>0</v>
      </c>
      <c r="Q585" s="7" t="s">
        <v>41</v>
      </c>
      <c r="R585" s="8">
        <f t="shared" si="136"/>
        <v>0</v>
      </c>
      <c r="S585" s="8">
        <f t="shared" si="128"/>
        <v>0</v>
      </c>
    </row>
    <row r="586" spans="1:19">
      <c r="A586" s="17" t="s">
        <v>733</v>
      </c>
      <c r="B586" s="2" t="s">
        <v>266</v>
      </c>
      <c r="D586" s="4" t="s">
        <v>41</v>
      </c>
      <c r="F586" s="6">
        <v>1</v>
      </c>
      <c r="G586" s="7" t="s">
        <v>20</v>
      </c>
      <c r="H586" s="6">
        <v>144</v>
      </c>
      <c r="I586" s="7" t="s">
        <v>41</v>
      </c>
      <c r="J586" s="8">
        <v>16175</v>
      </c>
      <c r="K586" s="4" t="s">
        <v>41</v>
      </c>
      <c r="O586" s="7" t="s">
        <v>41</v>
      </c>
      <c r="P586" s="3">
        <f t="shared" si="135"/>
        <v>0</v>
      </c>
      <c r="Q586" s="7" t="s">
        <v>41</v>
      </c>
      <c r="R586" s="8">
        <f t="shared" si="136"/>
        <v>0</v>
      </c>
      <c r="S586" s="8">
        <f t="shared" si="128"/>
        <v>0</v>
      </c>
    </row>
    <row r="587" spans="1:19">
      <c r="A587" s="17" t="s">
        <v>734</v>
      </c>
      <c r="B587" s="2" t="s">
        <v>266</v>
      </c>
      <c r="D587" s="4" t="s">
        <v>41</v>
      </c>
      <c r="F587" s="6">
        <v>1</v>
      </c>
      <c r="G587" s="7" t="s">
        <v>20</v>
      </c>
      <c r="H587" s="6">
        <v>144</v>
      </c>
      <c r="I587" s="7" t="s">
        <v>41</v>
      </c>
      <c r="J587" s="8">
        <v>16175</v>
      </c>
      <c r="K587" s="4" t="s">
        <v>41</v>
      </c>
      <c r="O587" s="7" t="s">
        <v>41</v>
      </c>
      <c r="P587" s="3">
        <f t="shared" si="135"/>
        <v>0</v>
      </c>
      <c r="Q587" s="7" t="s">
        <v>41</v>
      </c>
      <c r="R587" s="8">
        <f t="shared" si="136"/>
        <v>0</v>
      </c>
      <c r="S587" s="8">
        <f t="shared" si="128"/>
        <v>0</v>
      </c>
    </row>
    <row r="588" spans="1:19">
      <c r="A588" s="17" t="s">
        <v>735</v>
      </c>
      <c r="B588" s="2" t="s">
        <v>266</v>
      </c>
      <c r="D588" s="4" t="s">
        <v>41</v>
      </c>
      <c r="F588" s="6">
        <v>1</v>
      </c>
      <c r="G588" s="7" t="s">
        <v>20</v>
      </c>
      <c r="H588" s="6">
        <v>144</v>
      </c>
      <c r="I588" s="7" t="s">
        <v>41</v>
      </c>
      <c r="J588" s="8">
        <v>16175</v>
      </c>
      <c r="K588" s="4" t="s">
        <v>41</v>
      </c>
      <c r="O588" s="7" t="s">
        <v>41</v>
      </c>
      <c r="P588" s="3">
        <f t="shared" si="135"/>
        <v>0</v>
      </c>
      <c r="Q588" s="7" t="s">
        <v>41</v>
      </c>
      <c r="R588" s="8">
        <f t="shared" si="136"/>
        <v>0</v>
      </c>
      <c r="S588" s="8">
        <f t="shared" si="128"/>
        <v>0</v>
      </c>
    </row>
    <row r="589" spans="1:19">
      <c r="A589" s="17" t="s">
        <v>736</v>
      </c>
      <c r="B589" s="2" t="s">
        <v>266</v>
      </c>
      <c r="D589" s="4" t="s">
        <v>41</v>
      </c>
      <c r="F589" s="6">
        <v>1</v>
      </c>
      <c r="G589" s="7" t="s">
        <v>20</v>
      </c>
      <c r="H589" s="6">
        <v>144</v>
      </c>
      <c r="I589" s="7" t="s">
        <v>41</v>
      </c>
      <c r="J589" s="8">
        <v>16175</v>
      </c>
      <c r="K589" s="4" t="s">
        <v>41</v>
      </c>
      <c r="O589" s="7" t="s">
        <v>41</v>
      </c>
      <c r="P589" s="3">
        <f t="shared" si="135"/>
        <v>0</v>
      </c>
      <c r="Q589" s="7" t="s">
        <v>41</v>
      </c>
      <c r="R589" s="8">
        <f t="shared" si="136"/>
        <v>0</v>
      </c>
      <c r="S589" s="8">
        <f t="shared" si="128"/>
        <v>0</v>
      </c>
    </row>
    <row r="590" spans="1:19">
      <c r="A590" s="17" t="s">
        <v>737</v>
      </c>
      <c r="B590" s="2" t="s">
        <v>266</v>
      </c>
      <c r="D590" s="4" t="s">
        <v>41</v>
      </c>
      <c r="F590" s="6">
        <v>1</v>
      </c>
      <c r="G590" s="7" t="s">
        <v>20</v>
      </c>
      <c r="H590" s="6">
        <v>144</v>
      </c>
      <c r="I590" s="7" t="s">
        <v>41</v>
      </c>
      <c r="J590" s="8">
        <v>16175</v>
      </c>
      <c r="K590" s="4" t="s">
        <v>41</v>
      </c>
      <c r="O590" s="7" t="s">
        <v>41</v>
      </c>
      <c r="P590" s="3">
        <f t="shared" si="135"/>
        <v>0</v>
      </c>
      <c r="Q590" s="7" t="s">
        <v>41</v>
      </c>
      <c r="R590" s="8">
        <f t="shared" si="136"/>
        <v>0</v>
      </c>
      <c r="S590" s="8">
        <f t="shared" si="128"/>
        <v>0</v>
      </c>
    </row>
    <row r="591" spans="1:19">
      <c r="A591" s="17" t="s">
        <v>738</v>
      </c>
      <c r="B591" s="2" t="s">
        <v>266</v>
      </c>
      <c r="D591" s="4" t="s">
        <v>41</v>
      </c>
      <c r="F591" s="6">
        <v>1</v>
      </c>
      <c r="G591" s="7" t="s">
        <v>20</v>
      </c>
      <c r="H591" s="6">
        <v>144</v>
      </c>
      <c r="I591" s="7" t="s">
        <v>41</v>
      </c>
      <c r="J591" s="8">
        <v>16175</v>
      </c>
      <c r="K591" s="4" t="s">
        <v>41</v>
      </c>
      <c r="O591" s="7" t="s">
        <v>41</v>
      </c>
      <c r="P591" s="3">
        <f t="shared" si="135"/>
        <v>0</v>
      </c>
      <c r="Q591" s="7" t="s">
        <v>41</v>
      </c>
      <c r="R591" s="8">
        <f t="shared" si="136"/>
        <v>0</v>
      </c>
      <c r="S591" s="8">
        <f t="shared" si="128"/>
        <v>0</v>
      </c>
    </row>
    <row r="592" spans="1:19">
      <c r="A592" s="17" t="s">
        <v>739</v>
      </c>
      <c r="B592" s="2" t="s">
        <v>266</v>
      </c>
      <c r="D592" s="4" t="s">
        <v>41</v>
      </c>
      <c r="F592" s="6">
        <v>1</v>
      </c>
      <c r="G592" s="7" t="s">
        <v>20</v>
      </c>
      <c r="H592" s="6">
        <v>144</v>
      </c>
      <c r="I592" s="7" t="s">
        <v>41</v>
      </c>
      <c r="J592" s="8">
        <v>16175</v>
      </c>
      <c r="K592" s="4" t="s">
        <v>41</v>
      </c>
      <c r="O592" s="7" t="s">
        <v>41</v>
      </c>
      <c r="P592" s="3">
        <f t="shared" si="135"/>
        <v>0</v>
      </c>
      <c r="Q592" s="7" t="s">
        <v>41</v>
      </c>
      <c r="R592" s="8">
        <f t="shared" si="136"/>
        <v>0</v>
      </c>
      <c r="S592" s="8">
        <f t="shared" si="128"/>
        <v>0</v>
      </c>
    </row>
    <row r="593" spans="1:19" s="19" customFormat="1">
      <c r="A593" s="18" t="s">
        <v>411</v>
      </c>
      <c r="B593" s="19" t="s">
        <v>266</v>
      </c>
      <c r="C593" s="20"/>
      <c r="D593" s="21" t="s">
        <v>41</v>
      </c>
      <c r="E593" s="26"/>
      <c r="F593" s="22">
        <v>1</v>
      </c>
      <c r="G593" s="23" t="s">
        <v>20</v>
      </c>
      <c r="H593" s="22">
        <v>144</v>
      </c>
      <c r="I593" s="23" t="s">
        <v>41</v>
      </c>
      <c r="J593" s="24">
        <v>16175</v>
      </c>
      <c r="K593" s="21" t="s">
        <v>41</v>
      </c>
      <c r="L593" s="25"/>
      <c r="M593" s="25"/>
      <c r="N593" s="22"/>
      <c r="O593" s="23" t="s">
        <v>41</v>
      </c>
      <c r="P593" s="20">
        <f t="shared" si="135"/>
        <v>0</v>
      </c>
      <c r="Q593" s="23" t="s">
        <v>41</v>
      </c>
      <c r="R593" s="24">
        <f t="shared" si="136"/>
        <v>0</v>
      </c>
      <c r="S593" s="24">
        <f t="shared" si="128"/>
        <v>0</v>
      </c>
    </row>
    <row r="594" spans="1:19">
      <c r="A594" s="17" t="s">
        <v>740</v>
      </c>
      <c r="B594" s="2" t="s">
        <v>266</v>
      </c>
      <c r="D594" s="4" t="s">
        <v>41</v>
      </c>
      <c r="F594" s="6">
        <v>1</v>
      </c>
      <c r="G594" s="7" t="s">
        <v>20</v>
      </c>
      <c r="H594" s="6">
        <v>144</v>
      </c>
      <c r="I594" s="7" t="s">
        <v>41</v>
      </c>
      <c r="J594" s="8">
        <v>16175</v>
      </c>
      <c r="K594" s="4" t="s">
        <v>41</v>
      </c>
      <c r="O594" s="7" t="s">
        <v>41</v>
      </c>
      <c r="P594" s="3">
        <f t="shared" si="135"/>
        <v>0</v>
      </c>
      <c r="Q594" s="7" t="s">
        <v>41</v>
      </c>
      <c r="R594" s="8">
        <f t="shared" si="136"/>
        <v>0</v>
      </c>
      <c r="S594" s="8">
        <f t="shared" si="128"/>
        <v>0</v>
      </c>
    </row>
    <row r="595" spans="1:19">
      <c r="A595" s="17" t="s">
        <v>741</v>
      </c>
      <c r="B595" s="2" t="s">
        <v>266</v>
      </c>
      <c r="D595" s="4" t="s">
        <v>41</v>
      </c>
      <c r="F595" s="6">
        <v>1</v>
      </c>
      <c r="G595" s="7" t="s">
        <v>20</v>
      </c>
      <c r="H595" s="6">
        <v>144</v>
      </c>
      <c r="I595" s="7" t="s">
        <v>41</v>
      </c>
      <c r="J595" s="8">
        <v>16175</v>
      </c>
      <c r="K595" s="4" t="s">
        <v>41</v>
      </c>
      <c r="O595" s="7" t="s">
        <v>41</v>
      </c>
      <c r="P595" s="3">
        <f t="shared" si="135"/>
        <v>0</v>
      </c>
      <c r="Q595" s="7" t="s">
        <v>41</v>
      </c>
      <c r="R595" s="8">
        <f t="shared" si="136"/>
        <v>0</v>
      </c>
      <c r="S595" s="8">
        <f t="shared" si="128"/>
        <v>0</v>
      </c>
    </row>
    <row r="596" spans="1:19">
      <c r="A596" s="17" t="s">
        <v>742</v>
      </c>
      <c r="B596" s="2" t="s">
        <v>266</v>
      </c>
      <c r="D596" s="4" t="s">
        <v>41</v>
      </c>
      <c r="F596" s="6">
        <v>1</v>
      </c>
      <c r="G596" s="7" t="s">
        <v>20</v>
      </c>
      <c r="H596" s="6">
        <v>144</v>
      </c>
      <c r="I596" s="7" t="s">
        <v>41</v>
      </c>
      <c r="J596" s="8">
        <v>16175</v>
      </c>
      <c r="K596" s="4" t="s">
        <v>41</v>
      </c>
      <c r="O596" s="7" t="s">
        <v>41</v>
      </c>
      <c r="P596" s="3">
        <f t="shared" si="135"/>
        <v>0</v>
      </c>
      <c r="Q596" s="7" t="s">
        <v>41</v>
      </c>
      <c r="R596" s="8">
        <f t="shared" si="136"/>
        <v>0</v>
      </c>
      <c r="S596" s="8">
        <f t="shared" si="128"/>
        <v>0</v>
      </c>
    </row>
    <row r="597" spans="1:19">
      <c r="A597" s="17" t="s">
        <v>743</v>
      </c>
      <c r="B597" s="2" t="s">
        <v>266</v>
      </c>
      <c r="D597" s="4" t="s">
        <v>41</v>
      </c>
      <c r="F597" s="6">
        <v>1</v>
      </c>
      <c r="G597" s="7" t="s">
        <v>20</v>
      </c>
      <c r="H597" s="6">
        <v>144</v>
      </c>
      <c r="I597" s="7" t="s">
        <v>41</v>
      </c>
      <c r="J597" s="8">
        <v>16175</v>
      </c>
      <c r="K597" s="4" t="s">
        <v>41</v>
      </c>
      <c r="O597" s="7" t="s">
        <v>41</v>
      </c>
      <c r="P597" s="3">
        <f t="shared" si="135"/>
        <v>0</v>
      </c>
      <c r="Q597" s="7" t="s">
        <v>41</v>
      </c>
      <c r="R597" s="8">
        <f t="shared" si="136"/>
        <v>0</v>
      </c>
      <c r="S597" s="8">
        <f t="shared" si="128"/>
        <v>0</v>
      </c>
    </row>
    <row r="598" spans="1:19">
      <c r="A598" s="17" t="s">
        <v>744</v>
      </c>
      <c r="B598" s="2" t="s">
        <v>266</v>
      </c>
      <c r="D598" s="4" t="s">
        <v>41</v>
      </c>
      <c r="F598" s="6">
        <v>1</v>
      </c>
      <c r="G598" s="7" t="s">
        <v>20</v>
      </c>
      <c r="H598" s="6">
        <v>144</v>
      </c>
      <c r="I598" s="7" t="s">
        <v>41</v>
      </c>
      <c r="J598" s="8">
        <v>16175</v>
      </c>
      <c r="K598" s="4" t="s">
        <v>41</v>
      </c>
      <c r="O598" s="7" t="s">
        <v>41</v>
      </c>
      <c r="P598" s="3">
        <f t="shared" si="135"/>
        <v>0</v>
      </c>
      <c r="Q598" s="7" t="s">
        <v>41</v>
      </c>
      <c r="R598" s="8">
        <f t="shared" si="136"/>
        <v>0</v>
      </c>
      <c r="S598" s="8">
        <f t="shared" si="128"/>
        <v>0</v>
      </c>
    </row>
    <row r="599" spans="1:19">
      <c r="A599" s="17" t="s">
        <v>745</v>
      </c>
      <c r="B599" s="2" t="s">
        <v>266</v>
      </c>
      <c r="D599" s="4" t="s">
        <v>41</v>
      </c>
      <c r="F599" s="6">
        <v>1</v>
      </c>
      <c r="G599" s="7" t="s">
        <v>20</v>
      </c>
      <c r="H599" s="6">
        <v>144</v>
      </c>
      <c r="I599" s="7" t="s">
        <v>41</v>
      </c>
      <c r="J599" s="8">
        <v>16175</v>
      </c>
      <c r="K599" s="4" t="s">
        <v>41</v>
      </c>
      <c r="O599" s="7" t="s">
        <v>41</v>
      </c>
      <c r="P599" s="3">
        <f t="shared" si="135"/>
        <v>0</v>
      </c>
      <c r="Q599" s="7" t="s">
        <v>41</v>
      </c>
      <c r="R599" s="8">
        <f t="shared" si="136"/>
        <v>0</v>
      </c>
      <c r="S599" s="8">
        <f t="shared" si="128"/>
        <v>0</v>
      </c>
    </row>
    <row r="600" spans="1:19">
      <c r="A600" s="91" t="s">
        <v>852</v>
      </c>
      <c r="B600" s="2" t="s">
        <v>266</v>
      </c>
      <c r="D600" s="4" t="s">
        <v>41</v>
      </c>
      <c r="E600" s="5">
        <v>1</v>
      </c>
      <c r="F600" s="6">
        <v>1</v>
      </c>
      <c r="G600" s="7" t="s">
        <v>20</v>
      </c>
      <c r="H600" s="6">
        <v>120</v>
      </c>
      <c r="I600" s="7" t="s">
        <v>41</v>
      </c>
      <c r="J600" s="8">
        <v>18250</v>
      </c>
      <c r="K600" s="4" t="s">
        <v>41</v>
      </c>
      <c r="O600" s="7" t="s">
        <v>41</v>
      </c>
      <c r="P600" s="3">
        <f t="shared" si="135"/>
        <v>120</v>
      </c>
      <c r="Q600" s="7" t="s">
        <v>41</v>
      </c>
      <c r="R600" s="8">
        <f t="shared" si="136"/>
        <v>2190000</v>
      </c>
      <c r="S600" s="8">
        <f t="shared" si="128"/>
        <v>1972972.9729729728</v>
      </c>
    </row>
    <row r="601" spans="1:19">
      <c r="A601" s="91" t="s">
        <v>853</v>
      </c>
      <c r="B601" s="2" t="s">
        <v>266</v>
      </c>
      <c r="D601" s="4" t="s">
        <v>41</v>
      </c>
      <c r="E601" s="5">
        <v>1</v>
      </c>
      <c r="F601" s="6">
        <v>1</v>
      </c>
      <c r="G601" s="7" t="s">
        <v>20</v>
      </c>
      <c r="H601" s="6">
        <v>120</v>
      </c>
      <c r="I601" s="7" t="s">
        <v>41</v>
      </c>
      <c r="J601" s="8">
        <v>18250</v>
      </c>
      <c r="K601" s="4" t="s">
        <v>41</v>
      </c>
      <c r="O601" s="7" t="s">
        <v>41</v>
      </c>
      <c r="P601" s="3">
        <f t="shared" ref="P601:P603" si="137">(C601+(E601*F601*H601))-N601</f>
        <v>120</v>
      </c>
      <c r="Q601" s="7" t="s">
        <v>41</v>
      </c>
      <c r="R601" s="8">
        <f t="shared" ref="R601:R603" si="138">P601*(J601-(J601*L601)-((J601-(J601*L601))*M601))</f>
        <v>2190000</v>
      </c>
      <c r="S601" s="8">
        <f t="shared" ref="S601:S603" si="139">R601/1.11</f>
        <v>1972972.9729729728</v>
      </c>
    </row>
    <row r="602" spans="1:19">
      <c r="A602" s="91" t="s">
        <v>854</v>
      </c>
      <c r="B602" s="2" t="s">
        <v>266</v>
      </c>
      <c r="D602" s="4" t="s">
        <v>41</v>
      </c>
      <c r="E602" s="5">
        <v>1</v>
      </c>
      <c r="F602" s="6">
        <v>1</v>
      </c>
      <c r="G602" s="7" t="s">
        <v>20</v>
      </c>
      <c r="H602" s="6">
        <v>120</v>
      </c>
      <c r="I602" s="7" t="s">
        <v>41</v>
      </c>
      <c r="J602" s="8">
        <v>18250</v>
      </c>
      <c r="K602" s="4" t="s">
        <v>41</v>
      </c>
      <c r="O602" s="7" t="s">
        <v>41</v>
      </c>
      <c r="P602" s="3">
        <f t="shared" si="137"/>
        <v>120</v>
      </c>
      <c r="Q602" s="7" t="s">
        <v>41</v>
      </c>
      <c r="R602" s="8">
        <f t="shared" si="138"/>
        <v>2190000</v>
      </c>
      <c r="S602" s="8">
        <f t="shared" si="139"/>
        <v>1972972.9729729728</v>
      </c>
    </row>
    <row r="603" spans="1:19">
      <c r="A603" s="91" t="s">
        <v>855</v>
      </c>
      <c r="B603" s="2" t="s">
        <v>266</v>
      </c>
      <c r="D603" s="4" t="s">
        <v>41</v>
      </c>
      <c r="E603" s="5">
        <v>1</v>
      </c>
      <c r="F603" s="6">
        <v>1</v>
      </c>
      <c r="G603" s="7" t="s">
        <v>20</v>
      </c>
      <c r="H603" s="6">
        <v>120</v>
      </c>
      <c r="I603" s="7" t="s">
        <v>41</v>
      </c>
      <c r="J603" s="8">
        <v>18250</v>
      </c>
      <c r="K603" s="4" t="s">
        <v>41</v>
      </c>
      <c r="O603" s="7" t="s">
        <v>41</v>
      </c>
      <c r="P603" s="3">
        <f t="shared" si="137"/>
        <v>120</v>
      </c>
      <c r="Q603" s="7" t="s">
        <v>41</v>
      </c>
      <c r="R603" s="8">
        <f t="shared" si="138"/>
        <v>2190000</v>
      </c>
      <c r="S603" s="8">
        <f t="shared" si="139"/>
        <v>1972972.9729729728</v>
      </c>
    </row>
    <row r="605" spans="1:19">
      <c r="A605" s="17" t="s">
        <v>711</v>
      </c>
      <c r="B605" s="2" t="s">
        <v>697</v>
      </c>
      <c r="D605" s="4" t="s">
        <v>41</v>
      </c>
      <c r="F605" s="6">
        <v>1</v>
      </c>
      <c r="G605" s="7" t="s">
        <v>20</v>
      </c>
      <c r="H605" s="6">
        <v>96</v>
      </c>
      <c r="I605" s="7" t="s">
        <v>41</v>
      </c>
      <c r="J605" s="8">
        <v>26500</v>
      </c>
      <c r="K605" s="4" t="s">
        <v>41</v>
      </c>
      <c r="O605" s="7" t="s">
        <v>41</v>
      </c>
      <c r="P605" s="3">
        <f>(C605+(E605*F605*H605))-N605</f>
        <v>0</v>
      </c>
      <c r="Q605" s="7" t="s">
        <v>41</v>
      </c>
      <c r="R605" s="8">
        <f>P605*(J605-(J605*L605)-((J605-(J605*L605))*M605))</f>
        <v>0</v>
      </c>
      <c r="S605" s="8">
        <f t="shared" si="128"/>
        <v>0</v>
      </c>
    </row>
    <row r="607" spans="1:19">
      <c r="A607" s="17" t="s">
        <v>773</v>
      </c>
      <c r="B607" s="2" t="s">
        <v>177</v>
      </c>
      <c r="D607" s="4" t="s">
        <v>41</v>
      </c>
      <c r="F607" s="6">
        <v>1</v>
      </c>
      <c r="G607" s="7" t="s">
        <v>20</v>
      </c>
      <c r="H607" s="6">
        <v>144</v>
      </c>
      <c r="I607" s="7" t="s">
        <v>41</v>
      </c>
      <c r="J607" s="8">
        <v>19000</v>
      </c>
      <c r="K607" s="4" t="s">
        <v>41</v>
      </c>
      <c r="L607" s="9">
        <v>0.02</v>
      </c>
      <c r="O607" s="7" t="s">
        <v>41</v>
      </c>
      <c r="P607" s="3">
        <f>(C607+(E607*F607*H607))-N607</f>
        <v>0</v>
      </c>
      <c r="Q607" s="7" t="s">
        <v>41</v>
      </c>
      <c r="R607" s="8">
        <f>P607*(J607-(J607*L607)-((J607-(J607*L607))*M607))</f>
        <v>0</v>
      </c>
      <c r="S607" s="8">
        <f t="shared" ref="S607" si="140">R607/1.11</f>
        <v>0</v>
      </c>
    </row>
    <row r="608" spans="1:19">
      <c r="A608" s="17" t="s">
        <v>412</v>
      </c>
      <c r="B608" s="2" t="s">
        <v>177</v>
      </c>
      <c r="D608" s="4" t="s">
        <v>41</v>
      </c>
      <c r="F608" s="6">
        <v>1</v>
      </c>
      <c r="G608" s="7" t="s">
        <v>20</v>
      </c>
      <c r="H608" s="6">
        <v>192</v>
      </c>
      <c r="I608" s="7" t="s">
        <v>41</v>
      </c>
      <c r="J608" s="8">
        <v>12750</v>
      </c>
      <c r="K608" s="4" t="s">
        <v>41</v>
      </c>
      <c r="L608" s="9">
        <v>0.05</v>
      </c>
      <c r="O608" s="7" t="s">
        <v>41</v>
      </c>
      <c r="P608" s="3">
        <f>(C608+(E608*F608*H608))-N608</f>
        <v>0</v>
      </c>
      <c r="Q608" s="7" t="s">
        <v>41</v>
      </c>
      <c r="R608" s="8">
        <f>P608*(J608-(J608*L608)-((J608-(J608*L608))*M608))</f>
        <v>0</v>
      </c>
      <c r="S608" s="8">
        <f t="shared" si="128"/>
        <v>0</v>
      </c>
    </row>
    <row r="610" spans="1:19">
      <c r="A610" s="15" t="s">
        <v>413</v>
      </c>
    </row>
    <row r="611" spans="1:19">
      <c r="A611" s="71" t="s">
        <v>414</v>
      </c>
      <c r="B611" s="32" t="s">
        <v>18</v>
      </c>
      <c r="C611" s="33"/>
      <c r="D611" s="34" t="s">
        <v>157</v>
      </c>
      <c r="E611" s="35"/>
      <c r="F611" s="36">
        <v>8</v>
      </c>
      <c r="G611" s="37" t="s">
        <v>33</v>
      </c>
      <c r="H611" s="36">
        <v>24</v>
      </c>
      <c r="I611" s="37" t="s">
        <v>157</v>
      </c>
      <c r="J611" s="38">
        <v>16500</v>
      </c>
      <c r="K611" s="34" t="s">
        <v>157</v>
      </c>
      <c r="L611" s="39">
        <v>0.125</v>
      </c>
      <c r="M611" s="39">
        <v>0.05</v>
      </c>
      <c r="N611" s="36"/>
      <c r="O611" s="37" t="s">
        <v>157</v>
      </c>
      <c r="P611" s="33">
        <f t="shared" ref="P611:P617" si="141">(C611+(E611*F611*H611))-N611</f>
        <v>0</v>
      </c>
      <c r="Q611" s="37" t="s">
        <v>157</v>
      </c>
      <c r="R611" s="38">
        <f t="shared" ref="R611:R617" si="142">P611*(J611-(J611*L611)-((J611-(J611*L611))*M611))</f>
        <v>0</v>
      </c>
      <c r="S611" s="38">
        <f t="shared" si="128"/>
        <v>0</v>
      </c>
    </row>
    <row r="612" spans="1:19">
      <c r="A612" s="71" t="s">
        <v>807</v>
      </c>
      <c r="B612" s="32" t="s">
        <v>18</v>
      </c>
      <c r="C612" s="33"/>
      <c r="D612" s="34" t="s">
        <v>157</v>
      </c>
      <c r="E612" s="35"/>
      <c r="F612" s="36">
        <v>8</v>
      </c>
      <c r="G612" s="37" t="s">
        <v>33</v>
      </c>
      <c r="H612" s="36">
        <v>24</v>
      </c>
      <c r="I612" s="37" t="s">
        <v>157</v>
      </c>
      <c r="J612" s="38"/>
      <c r="K612" s="34" t="s">
        <v>157</v>
      </c>
      <c r="L612" s="39">
        <v>0.1</v>
      </c>
      <c r="M612" s="39">
        <v>0.05</v>
      </c>
      <c r="N612" s="36"/>
      <c r="O612" s="37" t="s">
        <v>157</v>
      </c>
      <c r="P612" s="33">
        <f t="shared" si="141"/>
        <v>0</v>
      </c>
      <c r="Q612" s="37" t="s">
        <v>157</v>
      </c>
      <c r="R612" s="38">
        <f t="shared" si="142"/>
        <v>0</v>
      </c>
      <c r="S612" s="38">
        <f t="shared" ref="S612:S714" si="143">R612/1.11</f>
        <v>0</v>
      </c>
    </row>
    <row r="613" spans="1:19">
      <c r="A613" s="72" t="s">
        <v>830</v>
      </c>
      <c r="B613" s="2" t="s">
        <v>18</v>
      </c>
      <c r="D613" s="4" t="s">
        <v>157</v>
      </c>
      <c r="F613" s="6">
        <v>12</v>
      </c>
      <c r="G613" s="7" t="s">
        <v>33</v>
      </c>
      <c r="H613" s="6">
        <v>24</v>
      </c>
      <c r="I613" s="7" t="s">
        <v>157</v>
      </c>
      <c r="J613" s="8">
        <v>14400</v>
      </c>
      <c r="K613" s="4" t="s">
        <v>157</v>
      </c>
      <c r="L613" s="9">
        <v>0.125</v>
      </c>
      <c r="M613" s="9">
        <v>0.05</v>
      </c>
      <c r="O613" s="7" t="s">
        <v>157</v>
      </c>
      <c r="P613" s="3">
        <f t="shared" si="141"/>
        <v>0</v>
      </c>
      <c r="Q613" s="7" t="s">
        <v>157</v>
      </c>
      <c r="R613" s="8">
        <f t="shared" si="142"/>
        <v>0</v>
      </c>
      <c r="S613" s="8">
        <f t="shared" si="143"/>
        <v>0</v>
      </c>
    </row>
    <row r="614" spans="1:19">
      <c r="A614" s="72" t="s">
        <v>415</v>
      </c>
      <c r="B614" s="2" t="s">
        <v>18</v>
      </c>
      <c r="D614" s="4" t="s">
        <v>157</v>
      </c>
      <c r="F614" s="6">
        <v>8</v>
      </c>
      <c r="G614" s="7" t="s">
        <v>33</v>
      </c>
      <c r="H614" s="6">
        <v>30</v>
      </c>
      <c r="I614" s="7" t="s">
        <v>157</v>
      </c>
      <c r="K614" s="4" t="s">
        <v>157</v>
      </c>
      <c r="L614" s="9">
        <v>0.1</v>
      </c>
      <c r="M614" s="9">
        <v>0.05</v>
      </c>
      <c r="O614" s="7" t="s">
        <v>157</v>
      </c>
      <c r="P614" s="3">
        <f t="shared" si="141"/>
        <v>0</v>
      </c>
      <c r="Q614" s="7" t="s">
        <v>157</v>
      </c>
      <c r="R614" s="8">
        <f t="shared" si="142"/>
        <v>0</v>
      </c>
      <c r="S614" s="8">
        <f t="shared" si="143"/>
        <v>0</v>
      </c>
    </row>
    <row r="615" spans="1:19">
      <c r="A615" s="72" t="s">
        <v>416</v>
      </c>
      <c r="B615" s="2" t="s">
        <v>18</v>
      </c>
      <c r="D615" s="4" t="s">
        <v>157</v>
      </c>
      <c r="F615" s="6">
        <v>8</v>
      </c>
      <c r="G615" s="7" t="s">
        <v>33</v>
      </c>
      <c r="H615" s="6">
        <v>24</v>
      </c>
      <c r="I615" s="7" t="s">
        <v>157</v>
      </c>
      <c r="J615" s="8">
        <v>21000</v>
      </c>
      <c r="K615" s="4" t="s">
        <v>157</v>
      </c>
      <c r="L615" s="9">
        <v>0.125</v>
      </c>
      <c r="M615" s="9">
        <v>0.05</v>
      </c>
      <c r="O615" s="7" t="s">
        <v>157</v>
      </c>
      <c r="P615" s="3">
        <f t="shared" si="141"/>
        <v>0</v>
      </c>
      <c r="Q615" s="7" t="s">
        <v>157</v>
      </c>
      <c r="R615" s="8">
        <f t="shared" si="142"/>
        <v>0</v>
      </c>
      <c r="S615" s="8">
        <f t="shared" si="143"/>
        <v>0</v>
      </c>
    </row>
    <row r="616" spans="1:19">
      <c r="A616" s="72" t="s">
        <v>417</v>
      </c>
      <c r="B616" s="2" t="s">
        <v>18</v>
      </c>
      <c r="D616" s="4" t="s">
        <v>157</v>
      </c>
      <c r="F616" s="6">
        <v>8</v>
      </c>
      <c r="G616" s="7" t="s">
        <v>33</v>
      </c>
      <c r="H616" s="6">
        <v>24</v>
      </c>
      <c r="I616" s="7" t="s">
        <v>157</v>
      </c>
      <c r="J616" s="8">
        <v>16800</v>
      </c>
      <c r="K616" s="4" t="s">
        <v>157</v>
      </c>
      <c r="L616" s="9">
        <v>0.125</v>
      </c>
      <c r="M616" s="9">
        <v>0.05</v>
      </c>
      <c r="O616" s="7" t="s">
        <v>157</v>
      </c>
      <c r="P616" s="3">
        <f t="shared" si="141"/>
        <v>0</v>
      </c>
      <c r="Q616" s="7" t="s">
        <v>157</v>
      </c>
      <c r="R616" s="8">
        <f t="shared" si="142"/>
        <v>0</v>
      </c>
      <c r="S616" s="8">
        <f t="shared" si="143"/>
        <v>0</v>
      </c>
    </row>
    <row r="617" spans="1:19">
      <c r="A617" s="72" t="s">
        <v>418</v>
      </c>
      <c r="B617" s="2" t="s">
        <v>18</v>
      </c>
      <c r="D617" s="4" t="s">
        <v>157</v>
      </c>
      <c r="F617" s="6">
        <v>6</v>
      </c>
      <c r="G617" s="7" t="s">
        <v>33</v>
      </c>
      <c r="H617" s="6">
        <v>24</v>
      </c>
      <c r="I617" s="7" t="s">
        <v>157</v>
      </c>
      <c r="J617" s="8">
        <v>21000</v>
      </c>
      <c r="K617" s="4" t="s">
        <v>157</v>
      </c>
      <c r="L617" s="9">
        <v>0.125</v>
      </c>
      <c r="M617" s="9">
        <v>0.05</v>
      </c>
      <c r="O617" s="7" t="s">
        <v>157</v>
      </c>
      <c r="P617" s="3">
        <f t="shared" si="141"/>
        <v>0</v>
      </c>
      <c r="Q617" s="7" t="s">
        <v>157</v>
      </c>
      <c r="R617" s="8">
        <f t="shared" si="142"/>
        <v>0</v>
      </c>
      <c r="S617" s="8">
        <f t="shared" si="143"/>
        <v>0</v>
      </c>
    </row>
    <row r="618" spans="1:19">
      <c r="A618" s="73"/>
    </row>
    <row r="619" spans="1:19">
      <c r="A619" s="17" t="s">
        <v>419</v>
      </c>
      <c r="B619" s="2" t="s">
        <v>25</v>
      </c>
      <c r="D619" s="4" t="s">
        <v>157</v>
      </c>
      <c r="F619" s="6">
        <v>8</v>
      </c>
      <c r="G619" s="7" t="s">
        <v>33</v>
      </c>
      <c r="H619" s="6">
        <v>30</v>
      </c>
      <c r="I619" s="7" t="s">
        <v>157</v>
      </c>
      <c r="J619" s="8">
        <f>4800000/8/30</f>
        <v>20000</v>
      </c>
      <c r="K619" s="4" t="s">
        <v>157</v>
      </c>
      <c r="M619" s="9">
        <v>0.17</v>
      </c>
      <c r="O619" s="7" t="s">
        <v>157</v>
      </c>
      <c r="P619" s="3">
        <f>(C619+(E619*F619*H619))-N619</f>
        <v>0</v>
      </c>
      <c r="Q619" s="7" t="s">
        <v>157</v>
      </c>
      <c r="R619" s="8">
        <f>P619*(J619-(J619*L619)-((J619-(J619*L619))*M619))</f>
        <v>0</v>
      </c>
      <c r="S619" s="8">
        <f t="shared" si="143"/>
        <v>0</v>
      </c>
    </row>
    <row r="620" spans="1:19">
      <c r="A620" s="17" t="s">
        <v>682</v>
      </c>
      <c r="B620" s="2" t="s">
        <v>25</v>
      </c>
      <c r="D620" s="4" t="s">
        <v>157</v>
      </c>
      <c r="F620" s="6">
        <v>6</v>
      </c>
      <c r="G620" s="7" t="s">
        <v>33</v>
      </c>
      <c r="H620" s="6">
        <v>30</v>
      </c>
      <c r="I620" s="7" t="s">
        <v>157</v>
      </c>
      <c r="J620" s="8">
        <f>2664000/6/30</f>
        <v>14800</v>
      </c>
      <c r="K620" s="4" t="s">
        <v>157</v>
      </c>
      <c r="M620" s="9">
        <v>0.17</v>
      </c>
      <c r="O620" s="7" t="s">
        <v>157</v>
      </c>
      <c r="P620" s="3">
        <f>(C620+(E620*F620*H620))-N620</f>
        <v>0</v>
      </c>
      <c r="Q620" s="7" t="s">
        <v>157</v>
      </c>
      <c r="R620" s="8">
        <f>P620*(J620-(J620*L620)-((J620-(J620*L620))*M620))</f>
        <v>0</v>
      </c>
      <c r="S620" s="8">
        <f t="shared" si="143"/>
        <v>0</v>
      </c>
    </row>
    <row r="622" spans="1:19">
      <c r="A622" s="15" t="s">
        <v>420</v>
      </c>
    </row>
    <row r="623" spans="1:19">
      <c r="A623" s="17" t="s">
        <v>421</v>
      </c>
      <c r="B623" s="2" t="s">
        <v>18</v>
      </c>
      <c r="D623" s="4" t="s">
        <v>41</v>
      </c>
      <c r="F623" s="6">
        <v>48</v>
      </c>
      <c r="G623" s="7" t="s">
        <v>33</v>
      </c>
      <c r="H623" s="6">
        <v>12</v>
      </c>
      <c r="I623" s="7" t="s">
        <v>19</v>
      </c>
      <c r="J623" s="8">
        <v>5800</v>
      </c>
      <c r="K623" s="4" t="s">
        <v>19</v>
      </c>
      <c r="L623" s="9">
        <v>0.125</v>
      </c>
      <c r="M623" s="9">
        <v>0.05</v>
      </c>
      <c r="O623" s="7" t="s">
        <v>19</v>
      </c>
      <c r="P623" s="3">
        <f>(C623+(E623*F623*H623))-N623</f>
        <v>0</v>
      </c>
      <c r="Q623" s="7" t="s">
        <v>19</v>
      </c>
      <c r="R623" s="8">
        <f>P623*(J623-(J623*L623)-((J623-(J623*L623))*M623))</f>
        <v>0</v>
      </c>
      <c r="S623" s="8">
        <f>R623/1.11</f>
        <v>0</v>
      </c>
    </row>
    <row r="625" spans="1:19">
      <c r="A625" s="72" t="s">
        <v>801</v>
      </c>
      <c r="B625" s="2" t="s">
        <v>25</v>
      </c>
      <c r="D625" s="4" t="s">
        <v>19</v>
      </c>
      <c r="F625" s="6">
        <v>24</v>
      </c>
      <c r="G625" s="7" t="s">
        <v>33</v>
      </c>
      <c r="H625" s="6">
        <v>24</v>
      </c>
      <c r="I625" s="7" t="s">
        <v>19</v>
      </c>
      <c r="J625" s="8">
        <f>2822400/24/24</f>
        <v>4900</v>
      </c>
      <c r="K625" s="4" t="s">
        <v>19</v>
      </c>
      <c r="M625" s="9">
        <v>0.17</v>
      </c>
      <c r="O625" s="7" t="s">
        <v>19</v>
      </c>
      <c r="P625" s="3">
        <f>(C625+(E625*F625*H625))-N625</f>
        <v>0</v>
      </c>
      <c r="Q625" s="7" t="s">
        <v>19</v>
      </c>
      <c r="R625" s="8">
        <f>P625*(J625-(J625*L625)-((J625-(J625*L625))*M625))</f>
        <v>0</v>
      </c>
      <c r="S625" s="8">
        <f t="shared" si="143"/>
        <v>0</v>
      </c>
    </row>
    <row r="626" spans="1:19">
      <c r="A626" s="72" t="s">
        <v>802</v>
      </c>
      <c r="B626" s="2" t="s">
        <v>25</v>
      </c>
      <c r="D626" s="4" t="s">
        <v>41</v>
      </c>
      <c r="F626" s="6">
        <v>24</v>
      </c>
      <c r="G626" s="7" t="s">
        <v>33</v>
      </c>
      <c r="H626" s="6">
        <v>2</v>
      </c>
      <c r="I626" s="7" t="s">
        <v>41</v>
      </c>
      <c r="J626" s="8">
        <f>2592000/24/2</f>
        <v>54000</v>
      </c>
      <c r="K626" s="4" t="s">
        <v>41</v>
      </c>
      <c r="M626" s="9">
        <v>0.17</v>
      </c>
      <c r="O626" s="7" t="s">
        <v>41</v>
      </c>
      <c r="P626" s="3">
        <f>(C626+(E626*F626*H626))-N626</f>
        <v>0</v>
      </c>
      <c r="Q626" s="7" t="s">
        <v>41</v>
      </c>
      <c r="R626" s="8">
        <f>P626*(J626-(J626*L626)-((J626-(J626*L626))*M626))</f>
        <v>0</v>
      </c>
      <c r="S626" s="8">
        <f t="shared" si="143"/>
        <v>0</v>
      </c>
    </row>
    <row r="627" spans="1:19">
      <c r="A627" s="72" t="s">
        <v>803</v>
      </c>
      <c r="B627" s="2" t="s">
        <v>25</v>
      </c>
      <c r="D627" s="4" t="s">
        <v>19</v>
      </c>
      <c r="F627" s="6">
        <v>24</v>
      </c>
      <c r="G627" s="7" t="s">
        <v>33</v>
      </c>
      <c r="H627" s="6">
        <v>24</v>
      </c>
      <c r="I627" s="7" t="s">
        <v>19</v>
      </c>
      <c r="J627" s="8">
        <f>1900800/24/24</f>
        <v>3300</v>
      </c>
      <c r="K627" s="4" t="s">
        <v>19</v>
      </c>
      <c r="M627" s="9">
        <v>0.17</v>
      </c>
      <c r="O627" s="7" t="s">
        <v>19</v>
      </c>
      <c r="P627" s="3">
        <f>(C627+(E627*F627*H627))-N627</f>
        <v>0</v>
      </c>
      <c r="Q627" s="7" t="s">
        <v>19</v>
      </c>
      <c r="R627" s="8">
        <f>P627*(J627-(J627*L627)-((J627-(J627*L627))*M627))</f>
        <v>0</v>
      </c>
      <c r="S627" s="8">
        <f t="shared" si="143"/>
        <v>0</v>
      </c>
    </row>
    <row r="628" spans="1:19">
      <c r="A628" s="73"/>
    </row>
    <row r="629" spans="1:19">
      <c r="A629" s="15" t="s">
        <v>422</v>
      </c>
    </row>
    <row r="630" spans="1:19">
      <c r="A630" s="17" t="s">
        <v>423</v>
      </c>
      <c r="B630" s="2" t="s">
        <v>18</v>
      </c>
      <c r="D630" s="4" t="s">
        <v>100</v>
      </c>
      <c r="F630" s="6">
        <v>18</v>
      </c>
      <c r="G630" s="7" t="s">
        <v>33</v>
      </c>
      <c r="H630" s="6">
        <v>12</v>
      </c>
      <c r="I630" s="7" t="s">
        <v>100</v>
      </c>
      <c r="J630" s="8">
        <f>36000/12</f>
        <v>3000</v>
      </c>
      <c r="K630" s="4" t="s">
        <v>100</v>
      </c>
      <c r="L630" s="9">
        <v>0.125</v>
      </c>
      <c r="M630" s="9">
        <v>0.05</v>
      </c>
      <c r="O630" s="7" t="s">
        <v>100</v>
      </c>
      <c r="P630" s="3">
        <f>(C630+(E630*F630*H630))-N630</f>
        <v>0</v>
      </c>
      <c r="Q630" s="7" t="s">
        <v>100</v>
      </c>
      <c r="R630" s="8">
        <f>P630*(J630-(J630*L630)-((J630-(J630*L630))*M630))</f>
        <v>0</v>
      </c>
      <c r="S630" s="8">
        <f t="shared" si="143"/>
        <v>0</v>
      </c>
    </row>
    <row r="631" spans="1:19">
      <c r="A631" s="17" t="s">
        <v>424</v>
      </c>
      <c r="B631" s="2" t="s">
        <v>18</v>
      </c>
      <c r="D631" s="4" t="s">
        <v>41</v>
      </c>
      <c r="F631" s="6">
        <v>18</v>
      </c>
      <c r="G631" s="7" t="s">
        <v>33</v>
      </c>
      <c r="H631" s="6">
        <v>24</v>
      </c>
      <c r="I631" s="7" t="s">
        <v>41</v>
      </c>
      <c r="J631" s="8">
        <v>27600</v>
      </c>
      <c r="K631" s="4" t="s">
        <v>41</v>
      </c>
      <c r="L631" s="9">
        <v>0.125</v>
      </c>
      <c r="M631" s="9">
        <v>0.05</v>
      </c>
      <c r="O631" s="7" t="s">
        <v>41</v>
      </c>
      <c r="P631" s="3">
        <f>(C631+(E631*F631*H631))-N631</f>
        <v>0</v>
      </c>
      <c r="Q631" s="7" t="s">
        <v>41</v>
      </c>
      <c r="R631" s="8">
        <f>P631*(J631-(J631*L631)-((J631-(J631*L631))*M631))</f>
        <v>0</v>
      </c>
      <c r="S631" s="8">
        <f t="shared" si="143"/>
        <v>0</v>
      </c>
    </row>
    <row r="633" spans="1:19">
      <c r="A633" s="17" t="s">
        <v>425</v>
      </c>
      <c r="B633" s="2" t="s">
        <v>266</v>
      </c>
      <c r="D633" s="4" t="s">
        <v>41</v>
      </c>
      <c r="F633" s="6">
        <v>1</v>
      </c>
      <c r="G633" s="7" t="s">
        <v>20</v>
      </c>
      <c r="H633" s="6">
        <v>96</v>
      </c>
      <c r="I633" s="7" t="s">
        <v>41</v>
      </c>
      <c r="J633" s="8">
        <v>9500</v>
      </c>
      <c r="K633" s="4" t="s">
        <v>41</v>
      </c>
      <c r="O633" s="7" t="s">
        <v>41</v>
      </c>
      <c r="P633" s="3">
        <f>(C633+(E633*F633*H633))-N633</f>
        <v>0</v>
      </c>
      <c r="Q633" s="7" t="s">
        <v>41</v>
      </c>
      <c r="R633" s="8">
        <f>P633*(J633-(J633*L633)-((J633-(J633*L633))*M633))</f>
        <v>0</v>
      </c>
      <c r="S633" s="8">
        <f t="shared" si="143"/>
        <v>0</v>
      </c>
    </row>
    <row r="635" spans="1:19">
      <c r="A635" s="17" t="s">
        <v>426</v>
      </c>
      <c r="B635" s="2" t="s">
        <v>25</v>
      </c>
      <c r="D635" s="4" t="s">
        <v>19</v>
      </c>
      <c r="F635" s="6">
        <v>144</v>
      </c>
      <c r="G635" s="7" t="s">
        <v>33</v>
      </c>
      <c r="H635" s="6">
        <v>2</v>
      </c>
      <c r="I635" s="7" t="s">
        <v>41</v>
      </c>
      <c r="J635" s="8">
        <f>6739200/144/2</f>
        <v>23400</v>
      </c>
      <c r="K635" s="4" t="s">
        <v>41</v>
      </c>
      <c r="M635" s="9">
        <v>0.17</v>
      </c>
      <c r="O635" s="7" t="s">
        <v>41</v>
      </c>
      <c r="P635" s="3">
        <f>(C635+(E635*F635*H635))-N635</f>
        <v>0</v>
      </c>
      <c r="Q635" s="7" t="s">
        <v>41</v>
      </c>
      <c r="R635" s="8">
        <f>P635*(J635-(J635*L635)-((J635-(J635*L635))*M635))</f>
        <v>0</v>
      </c>
      <c r="S635" s="8">
        <f t="shared" si="143"/>
        <v>0</v>
      </c>
    </row>
    <row r="636" spans="1:19">
      <c r="A636" s="17" t="s">
        <v>427</v>
      </c>
      <c r="B636" s="2" t="s">
        <v>25</v>
      </c>
      <c r="D636" s="4" t="s">
        <v>33</v>
      </c>
      <c r="F636" s="6">
        <v>1</v>
      </c>
      <c r="G636" s="7" t="s">
        <v>20</v>
      </c>
      <c r="H636" s="6">
        <v>120</v>
      </c>
      <c r="I636" s="7" t="s">
        <v>33</v>
      </c>
      <c r="J636" s="8">
        <f>2160000/120</f>
        <v>18000</v>
      </c>
      <c r="K636" s="4" t="s">
        <v>33</v>
      </c>
      <c r="M636" s="9">
        <v>0.17</v>
      </c>
      <c r="O636" s="7" t="s">
        <v>33</v>
      </c>
      <c r="P636" s="3">
        <f>(C636+(E636*F636*H636))-N636</f>
        <v>0</v>
      </c>
      <c r="Q636" s="7" t="s">
        <v>33</v>
      </c>
      <c r="R636" s="8">
        <f>P636*(J636-(J636*L636)-((J636-(J636*L636))*M636))</f>
        <v>0</v>
      </c>
      <c r="S636" s="8">
        <f t="shared" si="143"/>
        <v>0</v>
      </c>
    </row>
    <row r="638" spans="1:19">
      <c r="A638" s="17" t="s">
        <v>428</v>
      </c>
      <c r="B638" s="2" t="s">
        <v>187</v>
      </c>
      <c r="D638" s="4" t="s">
        <v>33</v>
      </c>
      <c r="F638" s="6">
        <v>1</v>
      </c>
      <c r="G638" s="7" t="s">
        <v>20</v>
      </c>
      <c r="H638" s="6">
        <v>240</v>
      </c>
      <c r="I638" s="7" t="s">
        <v>33</v>
      </c>
      <c r="J638" s="8">
        <v>5500</v>
      </c>
      <c r="K638" s="4" t="s">
        <v>33</v>
      </c>
      <c r="O638" s="7" t="s">
        <v>33</v>
      </c>
      <c r="P638" s="3">
        <f>(C638+(E638*F638*H638))-N638</f>
        <v>0</v>
      </c>
      <c r="Q638" s="7" t="s">
        <v>33</v>
      </c>
      <c r="R638" s="8">
        <f>P638*(J638-(J638*L638)-((J638-(J638*L638))*M638))</f>
        <v>0</v>
      </c>
      <c r="S638" s="8">
        <f t="shared" si="143"/>
        <v>0</v>
      </c>
    </row>
    <row r="640" spans="1:19">
      <c r="A640" s="15" t="s">
        <v>519</v>
      </c>
    </row>
    <row r="641" spans="1:19" s="19" customFormat="1">
      <c r="A641" s="18" t="s">
        <v>838</v>
      </c>
      <c r="B641" s="19" t="s">
        <v>18</v>
      </c>
      <c r="C641" s="20"/>
      <c r="D641" s="21" t="s">
        <v>19</v>
      </c>
      <c r="E641" s="26">
        <v>1</v>
      </c>
      <c r="F641" s="22">
        <v>48</v>
      </c>
      <c r="G641" s="23" t="s">
        <v>33</v>
      </c>
      <c r="H641" s="22">
        <v>12</v>
      </c>
      <c r="I641" s="23" t="s">
        <v>19</v>
      </c>
      <c r="J641" s="24">
        <v>2350</v>
      </c>
      <c r="K641" s="21" t="s">
        <v>19</v>
      </c>
      <c r="L641" s="25">
        <v>0.1</v>
      </c>
      <c r="M641" s="25">
        <v>0.05</v>
      </c>
      <c r="N641" s="22"/>
      <c r="O641" s="23" t="s">
        <v>19</v>
      </c>
      <c r="P641" s="20">
        <f>(C641+(E641*F641*H641))-N641</f>
        <v>576</v>
      </c>
      <c r="Q641" s="23" t="s">
        <v>19</v>
      </c>
      <c r="R641" s="24">
        <f>P641*(J641-(J641*L641)-((J641-(J641*L641))*M641))</f>
        <v>1157328</v>
      </c>
      <c r="S641" s="8">
        <f>R641/1.11</f>
        <v>1042637.8378378378</v>
      </c>
    </row>
    <row r="642" spans="1:19">
      <c r="A642" s="59"/>
    </row>
    <row r="643" spans="1:19">
      <c r="A643" s="66" t="s">
        <v>520</v>
      </c>
      <c r="B643" s="2" t="s">
        <v>25</v>
      </c>
      <c r="D643" s="4" t="s">
        <v>41</v>
      </c>
      <c r="F643" s="6">
        <v>1</v>
      </c>
      <c r="G643" s="7" t="s">
        <v>20</v>
      </c>
      <c r="H643" s="6">
        <v>60</v>
      </c>
      <c r="I643" s="7" t="s">
        <v>41</v>
      </c>
      <c r="J643" s="8">
        <f>2160000/60</f>
        <v>36000</v>
      </c>
      <c r="K643" s="4" t="s">
        <v>41</v>
      </c>
      <c r="M643" s="9">
        <v>0.17</v>
      </c>
      <c r="O643" s="7" t="s">
        <v>41</v>
      </c>
      <c r="P643" s="3">
        <f>(C643+(E643*F643*H643))-N643</f>
        <v>0</v>
      </c>
      <c r="Q643" s="7" t="s">
        <v>41</v>
      </c>
      <c r="R643" s="8">
        <f>P643*(J643-(J643*L643)-((J643-(J643*L643))*M643))</f>
        <v>0</v>
      </c>
      <c r="S643" s="8">
        <f>R643/1.11</f>
        <v>0</v>
      </c>
    </row>
    <row r="644" spans="1:19">
      <c r="A644" s="66" t="s">
        <v>521</v>
      </c>
      <c r="B644" s="2" t="s">
        <v>25</v>
      </c>
      <c r="D644" s="4" t="s">
        <v>41</v>
      </c>
      <c r="F644" s="6">
        <v>12</v>
      </c>
      <c r="G644" s="7" t="s">
        <v>85</v>
      </c>
      <c r="H644" s="6">
        <v>12</v>
      </c>
      <c r="I644" s="7" t="s">
        <v>41</v>
      </c>
      <c r="J644" s="8">
        <f>1555200/144</f>
        <v>10800</v>
      </c>
      <c r="K644" s="4" t="s">
        <v>41</v>
      </c>
      <c r="L644" s="9">
        <v>0.05</v>
      </c>
      <c r="M644" s="9">
        <v>0.17</v>
      </c>
      <c r="O644" s="7" t="s">
        <v>41</v>
      </c>
      <c r="P644" s="3">
        <f>(C644+(E644*F644*H644))-N644</f>
        <v>0</v>
      </c>
      <c r="Q644" s="7" t="s">
        <v>41</v>
      </c>
      <c r="R644" s="8">
        <f>P644*(J644-(J644*L644)-((J644-(J644*L644))*M644))</f>
        <v>0</v>
      </c>
      <c r="S644" s="8">
        <f>R644/1.11</f>
        <v>0</v>
      </c>
    </row>
    <row r="645" spans="1:19">
      <c r="A645" s="59"/>
    </row>
    <row r="646" spans="1:19">
      <c r="A646" s="15" t="s">
        <v>522</v>
      </c>
    </row>
    <row r="647" spans="1:19">
      <c r="A647" s="66" t="s">
        <v>523</v>
      </c>
      <c r="B647" s="2" t="s">
        <v>25</v>
      </c>
      <c r="D647" s="4" t="s">
        <v>41</v>
      </c>
      <c r="F647" s="6">
        <v>1</v>
      </c>
      <c r="G647" s="7" t="s">
        <v>20</v>
      </c>
      <c r="H647" s="6">
        <v>60</v>
      </c>
      <c r="I647" s="7" t="s">
        <v>41</v>
      </c>
      <c r="J647" s="8">
        <f>2268000/60</f>
        <v>37800</v>
      </c>
      <c r="K647" s="4" t="s">
        <v>41</v>
      </c>
      <c r="M647" s="9">
        <v>0.17</v>
      </c>
      <c r="O647" s="7" t="s">
        <v>41</v>
      </c>
      <c r="P647" s="3">
        <f>(C647+(E647*F647*H647))-N647</f>
        <v>0</v>
      </c>
      <c r="Q647" s="7" t="s">
        <v>41</v>
      </c>
      <c r="R647" s="8">
        <f>P647*(J647-(J647*L647)-((J647-(J647*L647))*M647))</f>
        <v>0</v>
      </c>
      <c r="S647" s="8">
        <f>R647/1.11</f>
        <v>0</v>
      </c>
    </row>
    <row r="649" spans="1:19">
      <c r="A649" s="31" t="s">
        <v>769</v>
      </c>
      <c r="B649" s="32" t="s">
        <v>604</v>
      </c>
      <c r="C649" s="33"/>
      <c r="D649" s="34" t="s">
        <v>157</v>
      </c>
      <c r="E649" s="35"/>
      <c r="F649" s="36">
        <v>1</v>
      </c>
      <c r="G649" s="37" t="s">
        <v>157</v>
      </c>
      <c r="H649" s="36">
        <v>1</v>
      </c>
      <c r="I649" s="37" t="s">
        <v>157</v>
      </c>
      <c r="J649" s="38">
        <v>4000</v>
      </c>
      <c r="K649" s="34" t="s">
        <v>19</v>
      </c>
      <c r="L649" s="39"/>
      <c r="M649" s="39">
        <v>1.0999999999999999E-2</v>
      </c>
      <c r="N649" s="36"/>
      <c r="O649" s="37" t="s">
        <v>19</v>
      </c>
      <c r="P649" s="33">
        <f>(C649+(E649*F649*H649))-N649</f>
        <v>0</v>
      </c>
      <c r="Q649" s="37" t="s">
        <v>19</v>
      </c>
      <c r="R649" s="38">
        <f>P649*(J649-(J649*L649)-((J649-(J649*L649))*M649))</f>
        <v>0</v>
      </c>
      <c r="S649" s="38">
        <f t="shared" ref="S649:S650" si="144">R649/1.11</f>
        <v>0</v>
      </c>
    </row>
    <row r="650" spans="1:19">
      <c r="A650" s="31" t="s">
        <v>839</v>
      </c>
      <c r="B650" s="32" t="s">
        <v>604</v>
      </c>
      <c r="C650" s="33"/>
      <c r="D650" s="34" t="s">
        <v>157</v>
      </c>
      <c r="E650" s="35"/>
      <c r="F650" s="36">
        <v>1</v>
      </c>
      <c r="G650" s="37" t="s">
        <v>157</v>
      </c>
      <c r="H650" s="36">
        <v>1</v>
      </c>
      <c r="I650" s="37" t="s">
        <v>157</v>
      </c>
      <c r="J650" s="38"/>
      <c r="K650" s="34" t="s">
        <v>19</v>
      </c>
      <c r="L650" s="39">
        <v>0.17499999999999999</v>
      </c>
      <c r="M650" s="39"/>
      <c r="N650" s="36"/>
      <c r="O650" s="37" t="s">
        <v>19</v>
      </c>
      <c r="P650" s="33">
        <f>(C650+(E650*F650*H650))-N650</f>
        <v>0</v>
      </c>
      <c r="Q650" s="37" t="s">
        <v>19</v>
      </c>
      <c r="R650" s="38">
        <f>P650*(J650-(J650*L650)-((J650-(J650*L650))*M650))</f>
        <v>0</v>
      </c>
      <c r="S650" s="38">
        <f t="shared" si="144"/>
        <v>0</v>
      </c>
    </row>
    <row r="651" spans="1:19">
      <c r="A651" s="59"/>
    </row>
    <row r="652" spans="1:19">
      <c r="A652" s="15" t="s">
        <v>524</v>
      </c>
    </row>
    <row r="653" spans="1:19" s="19" customFormat="1">
      <c r="A653" s="18" t="s">
        <v>525</v>
      </c>
      <c r="B653" s="19" t="s">
        <v>18</v>
      </c>
      <c r="C653" s="20"/>
      <c r="D653" s="21" t="s">
        <v>157</v>
      </c>
      <c r="E653" s="26"/>
      <c r="F653" s="22">
        <v>8</v>
      </c>
      <c r="G653" s="23" t="s">
        <v>33</v>
      </c>
      <c r="H653" s="22">
        <v>12</v>
      </c>
      <c r="I653" s="23" t="s">
        <v>157</v>
      </c>
      <c r="J653" s="24">
        <v>17000</v>
      </c>
      <c r="K653" s="21" t="s">
        <v>157</v>
      </c>
      <c r="L653" s="25">
        <v>0.125</v>
      </c>
      <c r="M653" s="25">
        <v>0.05</v>
      </c>
      <c r="N653" s="22"/>
      <c r="O653" s="23" t="s">
        <v>157</v>
      </c>
      <c r="P653" s="20">
        <f>(C653+(E653*F653*H653))-N653</f>
        <v>0</v>
      </c>
      <c r="Q653" s="23" t="s">
        <v>157</v>
      </c>
      <c r="R653" s="24">
        <f>P653*(J653-(J653*L653)-((J653-(J653*L653))*M653))</f>
        <v>0</v>
      </c>
      <c r="S653" s="8">
        <f>R653/1.11</f>
        <v>0</v>
      </c>
    </row>
    <row r="654" spans="1:19" s="19" customFormat="1">
      <c r="A654" s="18" t="s">
        <v>526</v>
      </c>
      <c r="B654" s="19" t="s">
        <v>18</v>
      </c>
      <c r="C654" s="20"/>
      <c r="D654" s="21" t="s">
        <v>157</v>
      </c>
      <c r="E654" s="26"/>
      <c r="F654" s="22">
        <v>8</v>
      </c>
      <c r="G654" s="23" t="s">
        <v>33</v>
      </c>
      <c r="H654" s="22">
        <v>6</v>
      </c>
      <c r="I654" s="23" t="s">
        <v>157</v>
      </c>
      <c r="J654" s="24">
        <v>34000</v>
      </c>
      <c r="K654" s="21" t="s">
        <v>157</v>
      </c>
      <c r="L654" s="25">
        <v>0.125</v>
      </c>
      <c r="M654" s="25">
        <v>0.05</v>
      </c>
      <c r="N654" s="22"/>
      <c r="O654" s="23" t="s">
        <v>157</v>
      </c>
      <c r="P654" s="20">
        <f>(C654+(E654*F654*H654))-N654</f>
        <v>0</v>
      </c>
      <c r="Q654" s="23" t="s">
        <v>157</v>
      </c>
      <c r="R654" s="24">
        <f>P654*(J654-(J654*L654)-((J654-(J654*L654))*M654))</f>
        <v>0</v>
      </c>
      <c r="S654" s="8">
        <f>R654/1.11</f>
        <v>0</v>
      </c>
    </row>
    <row r="655" spans="1:19" s="19" customFormat="1">
      <c r="A655" s="18" t="s">
        <v>527</v>
      </c>
      <c r="B655" s="19" t="s">
        <v>18</v>
      </c>
      <c r="C655" s="20"/>
      <c r="D655" s="21" t="s">
        <v>157</v>
      </c>
      <c r="E655" s="26"/>
      <c r="F655" s="22">
        <v>6</v>
      </c>
      <c r="G655" s="23" t="s">
        <v>33</v>
      </c>
      <c r="H655" s="22">
        <v>24</v>
      </c>
      <c r="I655" s="23" t="s">
        <v>157</v>
      </c>
      <c r="J655" s="24">
        <v>31500</v>
      </c>
      <c r="K655" s="21" t="s">
        <v>157</v>
      </c>
      <c r="L655" s="25">
        <v>0.125</v>
      </c>
      <c r="M655" s="25">
        <v>0.05</v>
      </c>
      <c r="N655" s="22"/>
      <c r="O655" s="23" t="s">
        <v>157</v>
      </c>
      <c r="P655" s="20">
        <f>(C655+(E655*F655*H655))-N655</f>
        <v>0</v>
      </c>
      <c r="Q655" s="23" t="s">
        <v>157</v>
      </c>
      <c r="R655" s="24">
        <f>P655*(J655-(J655*L655)-((J655-(J655*L655))*M655))</f>
        <v>0</v>
      </c>
      <c r="S655" s="8">
        <f>R655/1.11</f>
        <v>0</v>
      </c>
    </row>
    <row r="656" spans="1:19" s="19" customFormat="1">
      <c r="A656" s="18" t="s">
        <v>528</v>
      </c>
      <c r="B656" s="19" t="s">
        <v>18</v>
      </c>
      <c r="C656" s="20"/>
      <c r="D656" s="21" t="s">
        <v>157</v>
      </c>
      <c r="E656" s="26"/>
      <c r="F656" s="22">
        <v>6</v>
      </c>
      <c r="G656" s="23" t="s">
        <v>33</v>
      </c>
      <c r="H656" s="22">
        <v>12</v>
      </c>
      <c r="I656" s="23" t="s">
        <v>157</v>
      </c>
      <c r="J656" s="24">
        <v>63000</v>
      </c>
      <c r="K656" s="21" t="s">
        <v>157</v>
      </c>
      <c r="L656" s="25">
        <v>0.125</v>
      </c>
      <c r="M656" s="25">
        <v>0.05</v>
      </c>
      <c r="N656" s="22"/>
      <c r="O656" s="23" t="s">
        <v>157</v>
      </c>
      <c r="P656" s="20">
        <f>(C656+(E656*F656*H656))-N656</f>
        <v>0</v>
      </c>
      <c r="Q656" s="23" t="s">
        <v>157</v>
      </c>
      <c r="R656" s="24">
        <f>P656*(J656-(J656*L656)-((J656-(J656*L656))*M656))</f>
        <v>0</v>
      </c>
      <c r="S656" s="8">
        <f>R656/1.11</f>
        <v>0</v>
      </c>
    </row>
    <row r="657" spans="1:19" s="19" customFormat="1">
      <c r="A657" s="18" t="s">
        <v>529</v>
      </c>
      <c r="B657" s="19" t="s">
        <v>18</v>
      </c>
      <c r="C657" s="20"/>
      <c r="D657" s="21" t="s">
        <v>157</v>
      </c>
      <c r="E657" s="26"/>
      <c r="F657" s="22">
        <v>6</v>
      </c>
      <c r="G657" s="23" t="s">
        <v>33</v>
      </c>
      <c r="H657" s="22">
        <v>24</v>
      </c>
      <c r="I657" s="23" t="s">
        <v>157</v>
      </c>
      <c r="J657" s="24"/>
      <c r="K657" s="21" t="s">
        <v>157</v>
      </c>
      <c r="L657" s="25">
        <v>0.1</v>
      </c>
      <c r="M657" s="25">
        <v>0.05</v>
      </c>
      <c r="N657" s="22"/>
      <c r="O657" s="23" t="s">
        <v>157</v>
      </c>
      <c r="P657" s="20">
        <f>(C657+(E657*F657*H657))-N657</f>
        <v>0</v>
      </c>
      <c r="Q657" s="23" t="s">
        <v>157</v>
      </c>
      <c r="R657" s="24">
        <f>P657*(J657-(J657*L657)-((J657-(J657*L657))*M657))</f>
        <v>0</v>
      </c>
      <c r="S657" s="8">
        <f>R657/1.11</f>
        <v>0</v>
      </c>
    </row>
    <row r="659" spans="1:19" ht="15.75">
      <c r="A659" s="14" t="s">
        <v>429</v>
      </c>
    </row>
    <row r="660" spans="1:19" s="19" customFormat="1">
      <c r="A660" s="18" t="s">
        <v>430</v>
      </c>
      <c r="B660" s="19" t="s">
        <v>18</v>
      </c>
      <c r="C660" s="20"/>
      <c r="D660" s="21" t="s">
        <v>85</v>
      </c>
      <c r="E660" s="26">
        <v>16</v>
      </c>
      <c r="F660" s="22">
        <v>1</v>
      </c>
      <c r="G660" s="23" t="s">
        <v>20</v>
      </c>
      <c r="H660" s="22">
        <v>30</v>
      </c>
      <c r="I660" s="23" t="s">
        <v>85</v>
      </c>
      <c r="J660" s="24">
        <v>104400</v>
      </c>
      <c r="K660" s="21" t="s">
        <v>85</v>
      </c>
      <c r="L660" s="25">
        <v>0.125</v>
      </c>
      <c r="M660" s="25">
        <v>0.05</v>
      </c>
      <c r="N660" s="22"/>
      <c r="O660" s="23" t="s">
        <v>85</v>
      </c>
      <c r="P660" s="20">
        <f t="shared" ref="P660:P666" si="145">(C660+(E660*F660*H660))-N660</f>
        <v>480</v>
      </c>
      <c r="Q660" s="23" t="s">
        <v>85</v>
      </c>
      <c r="R660" s="24">
        <f t="shared" ref="R660:R666" si="146">P660*(J660-(J660*L660)-((J660-(J660*L660))*M660))</f>
        <v>41655600</v>
      </c>
      <c r="S660" s="24">
        <f t="shared" si="143"/>
        <v>37527567.567567565</v>
      </c>
    </row>
    <row r="661" spans="1:19" s="19" customFormat="1">
      <c r="A661" s="18" t="s">
        <v>661</v>
      </c>
      <c r="B661" s="19" t="s">
        <v>18</v>
      </c>
      <c r="C661" s="20"/>
      <c r="D661" s="21" t="s">
        <v>85</v>
      </c>
      <c r="E661" s="26"/>
      <c r="F661" s="22">
        <v>1</v>
      </c>
      <c r="G661" s="23" t="s">
        <v>20</v>
      </c>
      <c r="H661" s="22">
        <v>30</v>
      </c>
      <c r="I661" s="23" t="s">
        <v>85</v>
      </c>
      <c r="J661" s="24">
        <v>102000</v>
      </c>
      <c r="K661" s="21" t="s">
        <v>85</v>
      </c>
      <c r="L661" s="25">
        <v>0.125</v>
      </c>
      <c r="M661" s="25">
        <v>0.05</v>
      </c>
      <c r="N661" s="22"/>
      <c r="O661" s="23" t="s">
        <v>85</v>
      </c>
      <c r="P661" s="20">
        <f t="shared" si="145"/>
        <v>0</v>
      </c>
      <c r="Q661" s="23" t="s">
        <v>85</v>
      </c>
      <c r="R661" s="24">
        <f t="shared" si="146"/>
        <v>0</v>
      </c>
      <c r="S661" s="24">
        <f t="shared" si="143"/>
        <v>0</v>
      </c>
    </row>
    <row r="662" spans="1:19">
      <c r="A662" s="17" t="s">
        <v>431</v>
      </c>
      <c r="B662" s="2" t="s">
        <v>18</v>
      </c>
      <c r="D662" s="4" t="s">
        <v>85</v>
      </c>
      <c r="F662" s="6">
        <v>1</v>
      </c>
      <c r="G662" s="7" t="s">
        <v>20</v>
      </c>
      <c r="H662" s="6">
        <v>30</v>
      </c>
      <c r="I662" s="7" t="s">
        <v>85</v>
      </c>
      <c r="J662" s="8">
        <v>99000</v>
      </c>
      <c r="K662" s="4" t="s">
        <v>85</v>
      </c>
      <c r="L662" s="9">
        <v>0.125</v>
      </c>
      <c r="M662" s="9">
        <v>0.05</v>
      </c>
      <c r="O662" s="7" t="s">
        <v>85</v>
      </c>
      <c r="P662" s="3">
        <f t="shared" si="145"/>
        <v>0</v>
      </c>
      <c r="Q662" s="7" t="s">
        <v>85</v>
      </c>
      <c r="R662" s="8">
        <f t="shared" si="146"/>
        <v>0</v>
      </c>
      <c r="S662" s="8">
        <f t="shared" si="143"/>
        <v>0</v>
      </c>
    </row>
    <row r="663" spans="1:19">
      <c r="A663" s="17" t="s">
        <v>432</v>
      </c>
      <c r="B663" s="2" t="s">
        <v>18</v>
      </c>
      <c r="D663" s="4" t="s">
        <v>85</v>
      </c>
      <c r="F663" s="6">
        <v>1</v>
      </c>
      <c r="G663" s="7" t="s">
        <v>20</v>
      </c>
      <c r="H663" s="6">
        <v>30</v>
      </c>
      <c r="I663" s="7" t="s">
        <v>85</v>
      </c>
      <c r="J663" s="8">
        <v>96000</v>
      </c>
      <c r="K663" s="4" t="s">
        <v>85</v>
      </c>
      <c r="L663" s="9">
        <v>0.125</v>
      </c>
      <c r="M663" s="9">
        <v>0.05</v>
      </c>
      <c r="O663" s="7" t="s">
        <v>85</v>
      </c>
      <c r="P663" s="3">
        <f t="shared" si="145"/>
        <v>0</v>
      </c>
      <c r="Q663" s="7" t="s">
        <v>85</v>
      </c>
      <c r="R663" s="8">
        <f t="shared" si="146"/>
        <v>0</v>
      </c>
      <c r="S663" s="8">
        <f t="shared" si="143"/>
        <v>0</v>
      </c>
    </row>
    <row r="664" spans="1:19">
      <c r="A664" s="17" t="s">
        <v>433</v>
      </c>
      <c r="B664" s="2" t="s">
        <v>18</v>
      </c>
      <c r="D664" s="4" t="s">
        <v>85</v>
      </c>
      <c r="F664" s="6">
        <v>1</v>
      </c>
      <c r="G664" s="7" t="s">
        <v>20</v>
      </c>
      <c r="H664" s="6">
        <v>30</v>
      </c>
      <c r="I664" s="7" t="s">
        <v>85</v>
      </c>
      <c r="J664" s="8">
        <v>109000</v>
      </c>
      <c r="K664" s="4" t="s">
        <v>85</v>
      </c>
      <c r="L664" s="9">
        <v>0.125</v>
      </c>
      <c r="M664" s="9">
        <v>0.05</v>
      </c>
      <c r="O664" s="7" t="s">
        <v>85</v>
      </c>
      <c r="P664" s="3">
        <f t="shared" si="145"/>
        <v>0</v>
      </c>
      <c r="Q664" s="7" t="s">
        <v>85</v>
      </c>
      <c r="R664" s="8">
        <f t="shared" si="146"/>
        <v>0</v>
      </c>
      <c r="S664" s="8">
        <f t="shared" si="143"/>
        <v>0</v>
      </c>
    </row>
    <row r="665" spans="1:19">
      <c r="A665" s="17" t="s">
        <v>828</v>
      </c>
      <c r="B665" s="2" t="s">
        <v>18</v>
      </c>
      <c r="D665" s="4" t="s">
        <v>85</v>
      </c>
      <c r="F665" s="6">
        <v>1</v>
      </c>
      <c r="G665" s="7" t="s">
        <v>20</v>
      </c>
      <c r="H665" s="6">
        <v>30</v>
      </c>
      <c r="I665" s="7" t="s">
        <v>85</v>
      </c>
      <c r="J665" s="8">
        <v>144000</v>
      </c>
      <c r="K665" s="4" t="s">
        <v>85</v>
      </c>
      <c r="L665" s="9">
        <v>0.125</v>
      </c>
      <c r="M665" s="9">
        <v>0.05</v>
      </c>
      <c r="O665" s="7" t="s">
        <v>85</v>
      </c>
      <c r="P665" s="3">
        <f t="shared" si="145"/>
        <v>0</v>
      </c>
      <c r="Q665" s="7" t="s">
        <v>85</v>
      </c>
      <c r="R665" s="8">
        <f t="shared" si="146"/>
        <v>0</v>
      </c>
      <c r="S665" s="8">
        <f t="shared" si="143"/>
        <v>0</v>
      </c>
    </row>
    <row r="666" spans="1:19">
      <c r="A666" s="17" t="s">
        <v>763</v>
      </c>
      <c r="B666" s="2" t="s">
        <v>18</v>
      </c>
      <c r="D666" s="4" t="s">
        <v>85</v>
      </c>
      <c r="F666" s="6">
        <v>1</v>
      </c>
      <c r="G666" s="7" t="s">
        <v>20</v>
      </c>
      <c r="H666" s="6">
        <v>30</v>
      </c>
      <c r="I666" s="7" t="s">
        <v>85</v>
      </c>
      <c r="J666" s="8">
        <v>144000</v>
      </c>
      <c r="K666" s="4" t="s">
        <v>85</v>
      </c>
      <c r="L666" s="9">
        <v>0.125</v>
      </c>
      <c r="M666" s="9">
        <v>0.05</v>
      </c>
      <c r="O666" s="7" t="s">
        <v>85</v>
      </c>
      <c r="P666" s="3">
        <f t="shared" si="145"/>
        <v>0</v>
      </c>
      <c r="Q666" s="7" t="s">
        <v>85</v>
      </c>
      <c r="R666" s="8">
        <f t="shared" si="146"/>
        <v>0</v>
      </c>
      <c r="S666" s="8">
        <f t="shared" si="143"/>
        <v>0</v>
      </c>
    </row>
    <row r="668" spans="1:19" s="17" customFormat="1">
      <c r="A668" s="59" t="s">
        <v>782</v>
      </c>
      <c r="B668" s="17" t="s">
        <v>25</v>
      </c>
      <c r="C668" s="74"/>
      <c r="D668" s="75" t="s">
        <v>85</v>
      </c>
      <c r="E668" s="41"/>
      <c r="F668" s="76">
        <v>1</v>
      </c>
      <c r="G668" s="77" t="s">
        <v>20</v>
      </c>
      <c r="H668" s="76">
        <v>20</v>
      </c>
      <c r="I668" s="77" t="s">
        <v>85</v>
      </c>
      <c r="J668" s="78">
        <f>2448000/20</f>
        <v>122400</v>
      </c>
      <c r="K668" s="75" t="s">
        <v>85</v>
      </c>
      <c r="L668" s="79"/>
      <c r="M668" s="79">
        <v>0.17</v>
      </c>
      <c r="N668" s="76"/>
      <c r="O668" s="77" t="s">
        <v>85</v>
      </c>
      <c r="P668" s="74">
        <f t="shared" ref="P668:P687" si="147">(C668+(E668*F668*H668))-N668</f>
        <v>0</v>
      </c>
      <c r="Q668" s="77" t="s">
        <v>85</v>
      </c>
      <c r="R668" s="78">
        <f t="shared" ref="R668:R687" si="148">P668*(J668-(J668*L668)-((J668-(J668*L668))*M668))</f>
        <v>0</v>
      </c>
      <c r="S668" s="8">
        <f t="shared" ref="S668:S669" si="149">R668/1.11</f>
        <v>0</v>
      </c>
    </row>
    <row r="669" spans="1:19" s="17" customFormat="1">
      <c r="A669" s="92" t="s">
        <v>434</v>
      </c>
      <c r="B669" s="17" t="s">
        <v>25</v>
      </c>
      <c r="C669" s="74"/>
      <c r="D669" s="75" t="s">
        <v>85</v>
      </c>
      <c r="E669" s="41">
        <v>1</v>
      </c>
      <c r="F669" s="76">
        <v>1</v>
      </c>
      <c r="G669" s="77" t="s">
        <v>20</v>
      </c>
      <c r="H669" s="76">
        <v>20</v>
      </c>
      <c r="I669" s="77" t="s">
        <v>85</v>
      </c>
      <c r="J669" s="96">
        <v>115200</v>
      </c>
      <c r="K669" s="75" t="s">
        <v>85</v>
      </c>
      <c r="L669" s="79"/>
      <c r="M669" s="79">
        <v>0.17</v>
      </c>
      <c r="N669" s="76"/>
      <c r="O669" s="77" t="s">
        <v>85</v>
      </c>
      <c r="P669" s="74">
        <f t="shared" ref="P669" si="150">(C669+(E669*F669*H669))-N669</f>
        <v>20</v>
      </c>
      <c r="Q669" s="77" t="s">
        <v>85</v>
      </c>
      <c r="R669" s="78">
        <f t="shared" ref="R669" si="151">P669*(J669-(J669*L669)-((J669-(J669*L669))*M669))</f>
        <v>1912320</v>
      </c>
      <c r="S669" s="8">
        <f t="shared" si="149"/>
        <v>1722810.8108108107</v>
      </c>
    </row>
    <row r="670" spans="1:19" s="17" customFormat="1">
      <c r="A670" s="59" t="s">
        <v>434</v>
      </c>
      <c r="B670" s="17" t="s">
        <v>25</v>
      </c>
      <c r="C670" s="74"/>
      <c r="D670" s="75" t="s">
        <v>85</v>
      </c>
      <c r="E670" s="41"/>
      <c r="F670" s="76">
        <v>1</v>
      </c>
      <c r="G670" s="77" t="s">
        <v>20</v>
      </c>
      <c r="H670" s="76">
        <v>20</v>
      </c>
      <c r="I670" s="77" t="s">
        <v>85</v>
      </c>
      <c r="J670" s="78">
        <f>2160000/20</f>
        <v>108000</v>
      </c>
      <c r="K670" s="75" t="s">
        <v>85</v>
      </c>
      <c r="L670" s="79"/>
      <c r="M670" s="79">
        <v>0.17</v>
      </c>
      <c r="N670" s="76"/>
      <c r="O670" s="77" t="s">
        <v>85</v>
      </c>
      <c r="P670" s="74">
        <f t="shared" si="147"/>
        <v>0</v>
      </c>
      <c r="Q670" s="77" t="s">
        <v>85</v>
      </c>
      <c r="R670" s="78">
        <f t="shared" si="148"/>
        <v>0</v>
      </c>
      <c r="S670" s="8">
        <f t="shared" si="143"/>
        <v>0</v>
      </c>
    </row>
    <row r="671" spans="1:19" s="17" customFormat="1">
      <c r="A671" s="59" t="s">
        <v>774</v>
      </c>
      <c r="B671" s="17" t="s">
        <v>25</v>
      </c>
      <c r="C671" s="74"/>
      <c r="D671" s="75" t="s">
        <v>85</v>
      </c>
      <c r="E671" s="41"/>
      <c r="F671" s="76">
        <v>1</v>
      </c>
      <c r="G671" s="77" t="s">
        <v>20</v>
      </c>
      <c r="H671" s="76">
        <v>20</v>
      </c>
      <c r="I671" s="77" t="s">
        <v>85</v>
      </c>
      <c r="J671" s="78">
        <f>2880000/20</f>
        <v>144000</v>
      </c>
      <c r="K671" s="75" t="s">
        <v>85</v>
      </c>
      <c r="L671" s="79"/>
      <c r="M671" s="79">
        <v>0.17</v>
      </c>
      <c r="N671" s="76"/>
      <c r="O671" s="77" t="s">
        <v>85</v>
      </c>
      <c r="P671" s="74">
        <f t="shared" si="147"/>
        <v>0</v>
      </c>
      <c r="Q671" s="77" t="s">
        <v>85</v>
      </c>
      <c r="R671" s="78">
        <f t="shared" si="148"/>
        <v>0</v>
      </c>
      <c r="S671" s="8">
        <f t="shared" si="143"/>
        <v>0</v>
      </c>
    </row>
    <row r="672" spans="1:19" s="17" customFormat="1">
      <c r="A672" s="59" t="s">
        <v>664</v>
      </c>
      <c r="B672" s="17" t="s">
        <v>25</v>
      </c>
      <c r="C672" s="74"/>
      <c r="D672" s="75" t="s">
        <v>85</v>
      </c>
      <c r="E672" s="41"/>
      <c r="F672" s="76">
        <v>1</v>
      </c>
      <c r="G672" s="77" t="s">
        <v>20</v>
      </c>
      <c r="H672" s="76">
        <v>20</v>
      </c>
      <c r="I672" s="77" t="s">
        <v>85</v>
      </c>
      <c r="J672" s="78">
        <f>2448000/20</f>
        <v>122400</v>
      </c>
      <c r="K672" s="75" t="s">
        <v>85</v>
      </c>
      <c r="L672" s="79"/>
      <c r="M672" s="79">
        <v>0.17</v>
      </c>
      <c r="N672" s="76"/>
      <c r="O672" s="77" t="s">
        <v>85</v>
      </c>
      <c r="P672" s="74">
        <f t="shared" si="147"/>
        <v>0</v>
      </c>
      <c r="Q672" s="77" t="s">
        <v>85</v>
      </c>
      <c r="R672" s="78">
        <f t="shared" si="148"/>
        <v>0</v>
      </c>
      <c r="S672" s="8">
        <f t="shared" si="143"/>
        <v>0</v>
      </c>
    </row>
    <row r="673" spans="1:19" s="17" customFormat="1">
      <c r="A673" s="59" t="s">
        <v>435</v>
      </c>
      <c r="B673" s="17" t="s">
        <v>25</v>
      </c>
      <c r="C673" s="74"/>
      <c r="D673" s="75" t="s">
        <v>85</v>
      </c>
      <c r="E673" s="41">
        <v>13</v>
      </c>
      <c r="F673" s="76">
        <v>1</v>
      </c>
      <c r="G673" s="77" t="s">
        <v>20</v>
      </c>
      <c r="H673" s="76">
        <v>20</v>
      </c>
      <c r="I673" s="77" t="s">
        <v>85</v>
      </c>
      <c r="J673" s="78">
        <f>2112000/20</f>
        <v>105600</v>
      </c>
      <c r="K673" s="75" t="s">
        <v>85</v>
      </c>
      <c r="L673" s="79"/>
      <c r="M673" s="79">
        <v>0.17</v>
      </c>
      <c r="N673" s="76"/>
      <c r="O673" s="77" t="s">
        <v>85</v>
      </c>
      <c r="P673" s="74">
        <f t="shared" si="147"/>
        <v>260</v>
      </c>
      <c r="Q673" s="77" t="s">
        <v>85</v>
      </c>
      <c r="R673" s="78">
        <f t="shared" si="148"/>
        <v>22788480</v>
      </c>
      <c r="S673" s="8">
        <f t="shared" si="143"/>
        <v>20530162.162162159</v>
      </c>
    </row>
    <row r="674" spans="1:19" s="17" customFormat="1">
      <c r="A674" s="59" t="s">
        <v>436</v>
      </c>
      <c r="B674" s="17" t="s">
        <v>25</v>
      </c>
      <c r="C674" s="74"/>
      <c r="D674" s="75" t="s">
        <v>85</v>
      </c>
      <c r="E674" s="41">
        <v>2</v>
      </c>
      <c r="F674" s="76">
        <v>1</v>
      </c>
      <c r="G674" s="77" t="s">
        <v>20</v>
      </c>
      <c r="H674" s="76">
        <v>20</v>
      </c>
      <c r="I674" s="77" t="s">
        <v>85</v>
      </c>
      <c r="J674" s="78">
        <f>2448000/20</f>
        <v>122400</v>
      </c>
      <c r="K674" s="75" t="s">
        <v>85</v>
      </c>
      <c r="L674" s="79"/>
      <c r="M674" s="79">
        <v>0.17</v>
      </c>
      <c r="N674" s="76"/>
      <c r="O674" s="77" t="s">
        <v>85</v>
      </c>
      <c r="P674" s="74">
        <f t="shared" si="147"/>
        <v>40</v>
      </c>
      <c r="Q674" s="77" t="s">
        <v>85</v>
      </c>
      <c r="R674" s="78">
        <f t="shared" si="148"/>
        <v>4063680</v>
      </c>
      <c r="S674" s="8">
        <f t="shared" si="143"/>
        <v>3660972.9729729728</v>
      </c>
    </row>
    <row r="675" spans="1:19" s="17" customFormat="1">
      <c r="A675" s="59" t="s">
        <v>437</v>
      </c>
      <c r="B675" s="17" t="s">
        <v>25</v>
      </c>
      <c r="C675" s="74"/>
      <c r="D675" s="75" t="s">
        <v>85</v>
      </c>
      <c r="E675" s="41"/>
      <c r="F675" s="76">
        <v>1</v>
      </c>
      <c r="G675" s="77" t="s">
        <v>20</v>
      </c>
      <c r="H675" s="76">
        <v>20</v>
      </c>
      <c r="I675" s="77" t="s">
        <v>85</v>
      </c>
      <c r="J675" s="78">
        <f>2256000/20</f>
        <v>112800</v>
      </c>
      <c r="K675" s="75" t="s">
        <v>85</v>
      </c>
      <c r="L675" s="79"/>
      <c r="M675" s="79">
        <v>0.17</v>
      </c>
      <c r="N675" s="76"/>
      <c r="O675" s="77" t="s">
        <v>85</v>
      </c>
      <c r="P675" s="74">
        <f t="shared" si="147"/>
        <v>0</v>
      </c>
      <c r="Q675" s="77" t="s">
        <v>85</v>
      </c>
      <c r="R675" s="78">
        <f t="shared" si="148"/>
        <v>0</v>
      </c>
      <c r="S675" s="8">
        <f t="shared" si="143"/>
        <v>0</v>
      </c>
    </row>
    <row r="676" spans="1:19" s="17" customFormat="1">
      <c r="A676" s="59" t="s">
        <v>438</v>
      </c>
      <c r="B676" s="17" t="s">
        <v>25</v>
      </c>
      <c r="C676" s="60"/>
      <c r="D676" s="75" t="s">
        <v>85</v>
      </c>
      <c r="E676" s="41">
        <v>1</v>
      </c>
      <c r="F676" s="76">
        <v>1</v>
      </c>
      <c r="G676" s="77" t="s">
        <v>20</v>
      </c>
      <c r="H676" s="76">
        <v>20</v>
      </c>
      <c r="I676" s="77" t="s">
        <v>85</v>
      </c>
      <c r="J676" s="78">
        <f>8500*12</f>
        <v>102000</v>
      </c>
      <c r="K676" s="75" t="s">
        <v>85</v>
      </c>
      <c r="L676" s="79"/>
      <c r="M676" s="79">
        <v>0.17</v>
      </c>
      <c r="N676" s="80"/>
      <c r="O676" s="77" t="s">
        <v>85</v>
      </c>
      <c r="P676" s="74">
        <f t="shared" si="147"/>
        <v>20</v>
      </c>
      <c r="Q676" s="77" t="s">
        <v>85</v>
      </c>
      <c r="R676" s="78">
        <f t="shared" si="148"/>
        <v>1693200</v>
      </c>
      <c r="S676" s="8">
        <f t="shared" si="143"/>
        <v>1525405.4054054052</v>
      </c>
    </row>
    <row r="677" spans="1:19" s="17" customFormat="1">
      <c r="A677" s="59" t="s">
        <v>439</v>
      </c>
      <c r="B677" s="17" t="s">
        <v>25</v>
      </c>
      <c r="C677" s="60"/>
      <c r="D677" s="75" t="s">
        <v>85</v>
      </c>
      <c r="E677" s="41"/>
      <c r="F677" s="76">
        <v>1</v>
      </c>
      <c r="G677" s="77" t="s">
        <v>20</v>
      </c>
      <c r="H677" s="76">
        <v>20</v>
      </c>
      <c r="I677" s="77" t="s">
        <v>85</v>
      </c>
      <c r="J677" s="78">
        <v>103200</v>
      </c>
      <c r="K677" s="75" t="s">
        <v>85</v>
      </c>
      <c r="L677" s="79"/>
      <c r="M677" s="79">
        <v>0.17</v>
      </c>
      <c r="N677" s="76"/>
      <c r="O677" s="77" t="s">
        <v>85</v>
      </c>
      <c r="P677" s="74">
        <f t="shared" si="147"/>
        <v>0</v>
      </c>
      <c r="Q677" s="77" t="s">
        <v>85</v>
      </c>
      <c r="R677" s="78">
        <f t="shared" si="148"/>
        <v>0</v>
      </c>
      <c r="S677" s="8">
        <f t="shared" si="143"/>
        <v>0</v>
      </c>
    </row>
    <row r="678" spans="1:19">
      <c r="A678" s="17" t="s">
        <v>440</v>
      </c>
      <c r="B678" s="2" t="s">
        <v>25</v>
      </c>
      <c r="C678" s="20"/>
      <c r="D678" s="4" t="s">
        <v>85</v>
      </c>
      <c r="F678" s="6">
        <v>1</v>
      </c>
      <c r="G678" s="7" t="s">
        <v>20</v>
      </c>
      <c r="H678" s="6">
        <v>20</v>
      </c>
      <c r="I678" s="7" t="s">
        <v>85</v>
      </c>
      <c r="J678" s="8">
        <f>1980000/20</f>
        <v>99000</v>
      </c>
      <c r="K678" s="4" t="s">
        <v>85</v>
      </c>
      <c r="M678" s="9">
        <v>0.17</v>
      </c>
      <c r="O678" s="7" t="s">
        <v>85</v>
      </c>
      <c r="P678" s="3">
        <f t="shared" si="147"/>
        <v>0</v>
      </c>
      <c r="Q678" s="7" t="s">
        <v>85</v>
      </c>
      <c r="R678" s="8">
        <f t="shared" si="148"/>
        <v>0</v>
      </c>
      <c r="S678" s="8">
        <f t="shared" si="143"/>
        <v>0</v>
      </c>
    </row>
    <row r="679" spans="1:19" s="18" customFormat="1">
      <c r="A679" s="59" t="s">
        <v>441</v>
      </c>
      <c r="B679" s="18" t="s">
        <v>25</v>
      </c>
      <c r="C679" s="60"/>
      <c r="D679" s="61" t="s">
        <v>85</v>
      </c>
      <c r="E679" s="62"/>
      <c r="F679" s="63">
        <v>1</v>
      </c>
      <c r="G679" s="58" t="s">
        <v>20</v>
      </c>
      <c r="H679" s="63">
        <v>20</v>
      </c>
      <c r="I679" s="58" t="s">
        <v>85</v>
      </c>
      <c r="J679" s="29">
        <f>2208000/20</f>
        <v>110400</v>
      </c>
      <c r="K679" s="61" t="s">
        <v>85</v>
      </c>
      <c r="L679" s="64"/>
      <c r="M679" s="64">
        <v>0.17</v>
      </c>
      <c r="N679" s="63"/>
      <c r="O679" s="58" t="s">
        <v>85</v>
      </c>
      <c r="P679" s="60">
        <f t="shared" si="147"/>
        <v>0</v>
      </c>
      <c r="Q679" s="58" t="s">
        <v>85</v>
      </c>
      <c r="R679" s="29">
        <f t="shared" si="148"/>
        <v>0</v>
      </c>
      <c r="S679" s="24">
        <f t="shared" si="143"/>
        <v>0</v>
      </c>
    </row>
    <row r="680" spans="1:19" s="18" customFormat="1">
      <c r="A680" s="59" t="s">
        <v>442</v>
      </c>
      <c r="B680" s="18" t="s">
        <v>25</v>
      </c>
      <c r="C680" s="60"/>
      <c r="D680" s="61" t="s">
        <v>85</v>
      </c>
      <c r="E680" s="62">
        <v>1</v>
      </c>
      <c r="F680" s="63">
        <v>1</v>
      </c>
      <c r="G680" s="58" t="s">
        <v>20</v>
      </c>
      <c r="H680" s="63">
        <v>20</v>
      </c>
      <c r="I680" s="58" t="s">
        <v>85</v>
      </c>
      <c r="J680" s="29">
        <f>2208000/20</f>
        <v>110400</v>
      </c>
      <c r="K680" s="61" t="s">
        <v>85</v>
      </c>
      <c r="L680" s="64"/>
      <c r="M680" s="64">
        <v>0.17</v>
      </c>
      <c r="N680" s="63"/>
      <c r="O680" s="58" t="s">
        <v>85</v>
      </c>
      <c r="P680" s="60">
        <f t="shared" si="147"/>
        <v>20</v>
      </c>
      <c r="Q680" s="58" t="s">
        <v>85</v>
      </c>
      <c r="R680" s="29">
        <f t="shared" si="148"/>
        <v>1832640</v>
      </c>
      <c r="S680" s="24">
        <f t="shared" si="143"/>
        <v>1651027.027027027</v>
      </c>
    </row>
    <row r="681" spans="1:19" s="17" customFormat="1">
      <c r="A681" s="59" t="s">
        <v>443</v>
      </c>
      <c r="B681" s="17" t="s">
        <v>25</v>
      </c>
      <c r="C681" s="74"/>
      <c r="D681" s="75" t="s">
        <v>85</v>
      </c>
      <c r="E681" s="41"/>
      <c r="F681" s="76">
        <v>1</v>
      </c>
      <c r="G681" s="77" t="s">
        <v>20</v>
      </c>
      <c r="H681" s="76">
        <v>20</v>
      </c>
      <c r="I681" s="77" t="s">
        <v>85</v>
      </c>
      <c r="J681" s="78">
        <f>2112000/20</f>
        <v>105600</v>
      </c>
      <c r="K681" s="75" t="s">
        <v>85</v>
      </c>
      <c r="L681" s="79"/>
      <c r="M681" s="79">
        <v>0.17</v>
      </c>
      <c r="N681" s="76"/>
      <c r="O681" s="77" t="s">
        <v>85</v>
      </c>
      <c r="P681" s="74">
        <f t="shared" si="147"/>
        <v>0</v>
      </c>
      <c r="Q681" s="77" t="s">
        <v>85</v>
      </c>
      <c r="R681" s="78">
        <f t="shared" si="148"/>
        <v>0</v>
      </c>
      <c r="S681" s="8">
        <f t="shared" si="143"/>
        <v>0</v>
      </c>
    </row>
    <row r="682" spans="1:19" s="17" customFormat="1">
      <c r="A682" s="59" t="s">
        <v>444</v>
      </c>
      <c r="B682" s="17" t="s">
        <v>25</v>
      </c>
      <c r="C682" s="74"/>
      <c r="D682" s="75" t="s">
        <v>85</v>
      </c>
      <c r="E682" s="41"/>
      <c r="F682" s="76">
        <v>1</v>
      </c>
      <c r="G682" s="77" t="s">
        <v>20</v>
      </c>
      <c r="H682" s="76">
        <v>20</v>
      </c>
      <c r="I682" s="77" t="s">
        <v>85</v>
      </c>
      <c r="J682" s="78">
        <f>2160000/20</f>
        <v>108000</v>
      </c>
      <c r="K682" s="75" t="s">
        <v>85</v>
      </c>
      <c r="L682" s="79"/>
      <c r="M682" s="79">
        <v>0.17</v>
      </c>
      <c r="N682" s="76"/>
      <c r="O682" s="77" t="s">
        <v>85</v>
      </c>
      <c r="P682" s="74">
        <f t="shared" si="147"/>
        <v>0</v>
      </c>
      <c r="Q682" s="77" t="s">
        <v>85</v>
      </c>
      <c r="R682" s="78">
        <f t="shared" si="148"/>
        <v>0</v>
      </c>
      <c r="S682" s="8">
        <f t="shared" si="143"/>
        <v>0</v>
      </c>
    </row>
    <row r="683" spans="1:19" s="17" customFormat="1">
      <c r="A683" s="59" t="s">
        <v>445</v>
      </c>
      <c r="B683" s="17" t="s">
        <v>25</v>
      </c>
      <c r="C683" s="74"/>
      <c r="D683" s="75" t="s">
        <v>85</v>
      </c>
      <c r="E683" s="41">
        <v>12</v>
      </c>
      <c r="F683" s="76">
        <v>1</v>
      </c>
      <c r="G683" s="77" t="s">
        <v>20</v>
      </c>
      <c r="H683" s="76">
        <v>20</v>
      </c>
      <c r="I683" s="77" t="s">
        <v>85</v>
      </c>
      <c r="J683" s="78">
        <f>2160000/20</f>
        <v>108000</v>
      </c>
      <c r="K683" s="75" t="s">
        <v>85</v>
      </c>
      <c r="L683" s="79"/>
      <c r="M683" s="79">
        <v>0.17</v>
      </c>
      <c r="N683" s="76"/>
      <c r="O683" s="77" t="s">
        <v>85</v>
      </c>
      <c r="P683" s="74">
        <f t="shared" si="147"/>
        <v>240</v>
      </c>
      <c r="Q683" s="77" t="s">
        <v>85</v>
      </c>
      <c r="R683" s="78">
        <f t="shared" si="148"/>
        <v>21513600</v>
      </c>
      <c r="S683" s="8">
        <f t="shared" si="143"/>
        <v>19381621.62162162</v>
      </c>
    </row>
    <row r="684" spans="1:19" s="17" customFormat="1">
      <c r="A684" s="59" t="s">
        <v>717</v>
      </c>
      <c r="B684" s="17" t="s">
        <v>25</v>
      </c>
      <c r="C684" s="74"/>
      <c r="D684" s="75" t="s">
        <v>85</v>
      </c>
      <c r="E684" s="41"/>
      <c r="F684" s="76">
        <v>1</v>
      </c>
      <c r="G684" s="77" t="s">
        <v>20</v>
      </c>
      <c r="H684" s="76">
        <v>20</v>
      </c>
      <c r="I684" s="77" t="s">
        <v>85</v>
      </c>
      <c r="J684" s="78">
        <f>2256000/20</f>
        <v>112800</v>
      </c>
      <c r="K684" s="75" t="s">
        <v>85</v>
      </c>
      <c r="L684" s="79"/>
      <c r="M684" s="79">
        <v>0.17</v>
      </c>
      <c r="N684" s="76"/>
      <c r="O684" s="77" t="s">
        <v>85</v>
      </c>
      <c r="P684" s="74">
        <f t="shared" si="147"/>
        <v>0</v>
      </c>
      <c r="Q684" s="77" t="s">
        <v>85</v>
      </c>
      <c r="R684" s="78">
        <f t="shared" si="148"/>
        <v>0</v>
      </c>
      <c r="S684" s="8">
        <f t="shared" si="143"/>
        <v>0</v>
      </c>
    </row>
    <row r="685" spans="1:19" s="17" customFormat="1">
      <c r="A685" s="59" t="s">
        <v>446</v>
      </c>
      <c r="B685" s="17" t="s">
        <v>25</v>
      </c>
      <c r="C685" s="74"/>
      <c r="D685" s="75" t="s">
        <v>85</v>
      </c>
      <c r="E685" s="41">
        <v>1</v>
      </c>
      <c r="F685" s="76">
        <v>1</v>
      </c>
      <c r="G685" s="77" t="s">
        <v>20</v>
      </c>
      <c r="H685" s="76">
        <v>20</v>
      </c>
      <c r="I685" s="77" t="s">
        <v>85</v>
      </c>
      <c r="J685" s="78">
        <f>2112000/20</f>
        <v>105600</v>
      </c>
      <c r="K685" s="75" t="s">
        <v>85</v>
      </c>
      <c r="L685" s="79"/>
      <c r="M685" s="79">
        <v>0.17</v>
      </c>
      <c r="N685" s="76"/>
      <c r="O685" s="77" t="s">
        <v>85</v>
      </c>
      <c r="P685" s="74">
        <f t="shared" si="147"/>
        <v>20</v>
      </c>
      <c r="Q685" s="77" t="s">
        <v>85</v>
      </c>
      <c r="R685" s="78">
        <f t="shared" si="148"/>
        <v>1752960</v>
      </c>
      <c r="S685" s="8">
        <f t="shared" si="143"/>
        <v>1579243.2432432431</v>
      </c>
    </row>
    <row r="686" spans="1:19" s="17" customFormat="1">
      <c r="A686" s="59" t="s">
        <v>447</v>
      </c>
      <c r="B686" s="17" t="s">
        <v>25</v>
      </c>
      <c r="C686" s="74"/>
      <c r="D686" s="75" t="s">
        <v>85</v>
      </c>
      <c r="E686" s="41"/>
      <c r="F686" s="76">
        <v>1</v>
      </c>
      <c r="G686" s="77" t="s">
        <v>20</v>
      </c>
      <c r="H686" s="76">
        <v>20</v>
      </c>
      <c r="I686" s="77" t="s">
        <v>85</v>
      </c>
      <c r="J686" s="78">
        <f>2352000/20</f>
        <v>117600</v>
      </c>
      <c r="K686" s="75" t="s">
        <v>85</v>
      </c>
      <c r="L686" s="79"/>
      <c r="M686" s="79">
        <v>0.17</v>
      </c>
      <c r="N686" s="76"/>
      <c r="O686" s="77" t="s">
        <v>85</v>
      </c>
      <c r="P686" s="74">
        <f t="shared" si="147"/>
        <v>0</v>
      </c>
      <c r="Q686" s="77" t="s">
        <v>85</v>
      </c>
      <c r="R686" s="78">
        <f t="shared" si="148"/>
        <v>0</v>
      </c>
      <c r="S686" s="8">
        <f t="shared" si="143"/>
        <v>0</v>
      </c>
    </row>
    <row r="687" spans="1:19" s="17" customFormat="1">
      <c r="A687" s="59" t="s">
        <v>775</v>
      </c>
      <c r="B687" s="17" t="s">
        <v>25</v>
      </c>
      <c r="C687" s="74"/>
      <c r="D687" s="75" t="s">
        <v>85</v>
      </c>
      <c r="E687" s="41">
        <v>1</v>
      </c>
      <c r="F687" s="76">
        <v>1</v>
      </c>
      <c r="G687" s="77" t="s">
        <v>20</v>
      </c>
      <c r="H687" s="76">
        <v>20</v>
      </c>
      <c r="I687" s="77" t="s">
        <v>85</v>
      </c>
      <c r="J687" s="78">
        <f>2256000/20</f>
        <v>112800</v>
      </c>
      <c r="K687" s="75" t="s">
        <v>85</v>
      </c>
      <c r="L687" s="79"/>
      <c r="M687" s="79">
        <v>0.17</v>
      </c>
      <c r="N687" s="76"/>
      <c r="O687" s="77" t="s">
        <v>85</v>
      </c>
      <c r="P687" s="74">
        <f t="shared" si="147"/>
        <v>20</v>
      </c>
      <c r="Q687" s="77" t="s">
        <v>85</v>
      </c>
      <c r="R687" s="78">
        <f t="shared" si="148"/>
        <v>1872480</v>
      </c>
      <c r="S687" s="8">
        <f t="shared" si="143"/>
        <v>1686918.9189189188</v>
      </c>
    </row>
    <row r="688" spans="1:19" s="17" customFormat="1">
      <c r="A688" s="59"/>
      <c r="C688" s="74"/>
      <c r="D688" s="75"/>
      <c r="E688" s="41"/>
      <c r="F688" s="76"/>
      <c r="G688" s="77"/>
      <c r="H688" s="76"/>
      <c r="I688" s="77"/>
      <c r="J688" s="78"/>
      <c r="K688" s="75"/>
      <c r="L688" s="79"/>
      <c r="M688" s="79"/>
      <c r="N688" s="76"/>
      <c r="O688" s="77"/>
      <c r="P688" s="74"/>
      <c r="Q688" s="77"/>
      <c r="R688" s="78"/>
      <c r="S688" s="8"/>
    </row>
    <row r="689" spans="1:19" s="17" customFormat="1">
      <c r="A689" s="59" t="s">
        <v>448</v>
      </c>
      <c r="B689" s="17" t="s">
        <v>187</v>
      </c>
      <c r="C689" s="74"/>
      <c r="D689" s="75" t="s">
        <v>85</v>
      </c>
      <c r="E689" s="41"/>
      <c r="F689" s="76">
        <v>1</v>
      </c>
      <c r="G689" s="77" t="s">
        <v>20</v>
      </c>
      <c r="H689" s="76">
        <v>30</v>
      </c>
      <c r="I689" s="77" t="s">
        <v>85</v>
      </c>
      <c r="J689" s="78">
        <v>155000</v>
      </c>
      <c r="K689" s="75" t="s">
        <v>85</v>
      </c>
      <c r="L689" s="79"/>
      <c r="M689" s="79"/>
      <c r="N689" s="76"/>
      <c r="O689" s="77" t="s">
        <v>85</v>
      </c>
      <c r="P689" s="74">
        <f>(C689+(E689*F689*H689))-N689</f>
        <v>0</v>
      </c>
      <c r="Q689" s="77" t="s">
        <v>85</v>
      </c>
      <c r="R689" s="78">
        <f>P689*(J689-(J689*L689)-((J689-(J689*L689))*M689))</f>
        <v>0</v>
      </c>
      <c r="S689" s="8">
        <f t="shared" si="143"/>
        <v>0</v>
      </c>
    </row>
    <row r="690" spans="1:19" s="17" customFormat="1">
      <c r="A690" s="59"/>
      <c r="C690" s="74"/>
      <c r="D690" s="75"/>
      <c r="E690" s="41"/>
      <c r="F690" s="76"/>
      <c r="G690" s="77"/>
      <c r="H690" s="76"/>
      <c r="I690" s="77"/>
      <c r="J690" s="78"/>
      <c r="K690" s="75"/>
      <c r="L690" s="79"/>
      <c r="M690" s="79"/>
      <c r="N690" s="76"/>
      <c r="O690" s="77"/>
      <c r="P690" s="74"/>
      <c r="Q690" s="77"/>
      <c r="R690" s="78"/>
      <c r="S690" s="8"/>
    </row>
    <row r="691" spans="1:19">
      <c r="A691" s="15" t="s">
        <v>449</v>
      </c>
    </row>
    <row r="692" spans="1:19">
      <c r="A692" s="17" t="s">
        <v>450</v>
      </c>
      <c r="B692" s="2" t="s">
        <v>187</v>
      </c>
      <c r="D692" s="4" t="s">
        <v>33</v>
      </c>
      <c r="F692" s="6">
        <v>1</v>
      </c>
      <c r="G692" s="7" t="s">
        <v>20</v>
      </c>
      <c r="H692" s="6">
        <v>40</v>
      </c>
      <c r="I692" s="7" t="s">
        <v>33</v>
      </c>
      <c r="J692" s="8">
        <v>33600</v>
      </c>
      <c r="K692" s="4" t="s">
        <v>33</v>
      </c>
      <c r="O692" s="7" t="s">
        <v>33</v>
      </c>
      <c r="P692" s="3">
        <f>(C692+(E692*F692*H692))-N692</f>
        <v>0</v>
      </c>
      <c r="Q692" s="7" t="s">
        <v>33</v>
      </c>
      <c r="R692" s="8">
        <f>P692*(J692-(J692*L692)-((J692-(J692*L692))*M692))</f>
        <v>0</v>
      </c>
      <c r="S692" s="8">
        <f t="shared" si="143"/>
        <v>0</v>
      </c>
    </row>
    <row r="693" spans="1:19">
      <c r="A693" s="17" t="s">
        <v>451</v>
      </c>
      <c r="B693" s="2" t="s">
        <v>187</v>
      </c>
      <c r="D693" s="4" t="s">
        <v>33</v>
      </c>
      <c r="F693" s="6">
        <v>1</v>
      </c>
      <c r="G693" s="7" t="s">
        <v>20</v>
      </c>
      <c r="H693" s="6">
        <v>40</v>
      </c>
      <c r="I693" s="7" t="s">
        <v>33</v>
      </c>
      <c r="J693" s="8">
        <v>33600</v>
      </c>
      <c r="K693" s="4" t="s">
        <v>33</v>
      </c>
      <c r="O693" s="7" t="s">
        <v>33</v>
      </c>
      <c r="P693" s="3">
        <f>(C693+(E693*F693*H693))-N693</f>
        <v>0</v>
      </c>
      <c r="Q693" s="7" t="s">
        <v>33</v>
      </c>
      <c r="R693" s="8">
        <f>P693*(J693-(J693*L693)-((J693-(J693*L693))*M693))</f>
        <v>0</v>
      </c>
      <c r="S693" s="8">
        <f t="shared" si="143"/>
        <v>0</v>
      </c>
    </row>
    <row r="694" spans="1:19">
      <c r="A694" s="17" t="s">
        <v>452</v>
      </c>
      <c r="B694" s="2" t="s">
        <v>187</v>
      </c>
      <c r="D694" s="4" t="s">
        <v>33</v>
      </c>
      <c r="F694" s="6">
        <v>1</v>
      </c>
      <c r="G694" s="7" t="s">
        <v>20</v>
      </c>
      <c r="H694" s="6">
        <v>40</v>
      </c>
      <c r="I694" s="7" t="s">
        <v>33</v>
      </c>
      <c r="J694" s="8">
        <v>33600</v>
      </c>
      <c r="K694" s="4" t="s">
        <v>33</v>
      </c>
      <c r="O694" s="7" t="s">
        <v>33</v>
      </c>
      <c r="P694" s="3">
        <f>(C694+(E694*F694*H694))-N694</f>
        <v>0</v>
      </c>
      <c r="Q694" s="7" t="s">
        <v>33</v>
      </c>
      <c r="R694" s="8">
        <f>P694*(J694-(J694*L694)-((J694-(J694*L694))*M694))</f>
        <v>0</v>
      </c>
      <c r="S694" s="8">
        <f t="shared" si="143"/>
        <v>0</v>
      </c>
    </row>
    <row r="695" spans="1:19">
      <c r="A695" s="17" t="s">
        <v>453</v>
      </c>
      <c r="B695" s="2" t="s">
        <v>187</v>
      </c>
      <c r="C695" s="20"/>
      <c r="D695" s="4" t="s">
        <v>33</v>
      </c>
      <c r="F695" s="6">
        <v>1</v>
      </c>
      <c r="G695" s="7" t="s">
        <v>20</v>
      </c>
      <c r="H695" s="6">
        <v>40</v>
      </c>
      <c r="I695" s="7" t="s">
        <v>33</v>
      </c>
      <c r="J695" s="8">
        <v>33600</v>
      </c>
      <c r="K695" s="4" t="s">
        <v>33</v>
      </c>
      <c r="O695" s="7" t="s">
        <v>33</v>
      </c>
      <c r="P695" s="3">
        <f>(C695+(E695*F695*H695))-N695</f>
        <v>0</v>
      </c>
      <c r="Q695" s="7" t="s">
        <v>33</v>
      </c>
      <c r="R695" s="8">
        <f>P695*(J695-(J695*L695)-((J695-(J695*L695))*M695))</f>
        <v>0</v>
      </c>
      <c r="S695" s="8">
        <f t="shared" si="143"/>
        <v>0</v>
      </c>
    </row>
    <row r="696" spans="1:19">
      <c r="A696" s="17" t="s">
        <v>454</v>
      </c>
      <c r="B696" s="2" t="s">
        <v>187</v>
      </c>
      <c r="C696" s="20"/>
      <c r="D696" s="4" t="s">
        <v>33</v>
      </c>
      <c r="F696" s="6">
        <v>1</v>
      </c>
      <c r="G696" s="7" t="s">
        <v>20</v>
      </c>
      <c r="H696" s="6">
        <v>24</v>
      </c>
      <c r="I696" s="7" t="s">
        <v>33</v>
      </c>
      <c r="J696" s="8">
        <v>38400</v>
      </c>
      <c r="K696" s="4" t="s">
        <v>33</v>
      </c>
      <c r="O696" s="7" t="s">
        <v>33</v>
      </c>
      <c r="P696" s="3">
        <f>(C696+(E696*F696*H696))-N696</f>
        <v>0</v>
      </c>
      <c r="Q696" s="7" t="s">
        <v>33</v>
      </c>
      <c r="R696" s="8">
        <f>P696*(J696-(J696*L696)-((J696-(J696*L696))*M696))</f>
        <v>0</v>
      </c>
      <c r="S696" s="8">
        <f t="shared" si="143"/>
        <v>0</v>
      </c>
    </row>
    <row r="697" spans="1:19">
      <c r="C697" s="20"/>
    </row>
    <row r="698" spans="1:19">
      <c r="A698" s="15" t="s">
        <v>455</v>
      </c>
      <c r="C698" s="20"/>
    </row>
    <row r="699" spans="1:19">
      <c r="A699" s="73" t="s">
        <v>456</v>
      </c>
      <c r="B699" s="2" t="s">
        <v>18</v>
      </c>
      <c r="C699" s="20"/>
      <c r="D699" s="4" t="s">
        <v>85</v>
      </c>
      <c r="F699" s="6">
        <v>1</v>
      </c>
      <c r="G699" s="7" t="s">
        <v>20</v>
      </c>
      <c r="H699" s="6">
        <v>12</v>
      </c>
      <c r="I699" s="7" t="s">
        <v>85</v>
      </c>
      <c r="J699" s="8">
        <v>255600</v>
      </c>
      <c r="K699" s="4" t="s">
        <v>85</v>
      </c>
      <c r="L699" s="9">
        <v>0.125</v>
      </c>
      <c r="M699" s="9">
        <v>0.05</v>
      </c>
      <c r="O699" s="7" t="s">
        <v>85</v>
      </c>
      <c r="P699" s="3">
        <f>(C699+(E699*F699*H699))-N699</f>
        <v>0</v>
      </c>
      <c r="Q699" s="7" t="s">
        <v>85</v>
      </c>
      <c r="R699" s="8">
        <f>P699*(J699-(J699*L699)-((J699-(J699*L699))*M699))</f>
        <v>0</v>
      </c>
      <c r="S699" s="8">
        <f t="shared" ref="S699:S700" si="152">R699/1.11</f>
        <v>0</v>
      </c>
    </row>
    <row r="700" spans="1:19">
      <c r="A700" s="73" t="s">
        <v>457</v>
      </c>
      <c r="B700" s="2" t="s">
        <v>25</v>
      </c>
      <c r="C700" s="20"/>
      <c r="D700" s="4" t="s">
        <v>41</v>
      </c>
      <c r="F700" s="6">
        <v>12</v>
      </c>
      <c r="G700" s="7" t="s">
        <v>33</v>
      </c>
      <c r="H700" s="6">
        <v>6</v>
      </c>
      <c r="I700" s="7" t="s">
        <v>41</v>
      </c>
      <c r="J700" s="8">
        <v>21000</v>
      </c>
      <c r="K700" s="4" t="s">
        <v>41</v>
      </c>
      <c r="M700" s="9">
        <v>0.17</v>
      </c>
      <c r="O700" s="7" t="s">
        <v>41</v>
      </c>
      <c r="P700" s="3">
        <f>(C700+(E700*F700*H700))-N700</f>
        <v>0</v>
      </c>
      <c r="Q700" s="7" t="s">
        <v>41</v>
      </c>
      <c r="R700" s="8">
        <f>P700*(J700-(J700*L700)-((J700-(J700*L700))*M700))</f>
        <v>0</v>
      </c>
      <c r="S700" s="8">
        <f t="shared" si="152"/>
        <v>0</v>
      </c>
    </row>
    <row r="701" spans="1:19">
      <c r="A701" s="73"/>
      <c r="C701" s="20"/>
    </row>
    <row r="702" spans="1:19">
      <c r="A702" s="15" t="s">
        <v>458</v>
      </c>
      <c r="C702" s="20"/>
    </row>
    <row r="703" spans="1:19">
      <c r="A703" s="73" t="s">
        <v>459</v>
      </c>
      <c r="B703" s="2" t="s">
        <v>18</v>
      </c>
      <c r="C703" s="20"/>
      <c r="D703" s="4" t="s">
        <v>41</v>
      </c>
      <c r="F703" s="6">
        <v>1</v>
      </c>
      <c r="G703" s="7" t="s">
        <v>20</v>
      </c>
      <c r="H703" s="6">
        <v>144</v>
      </c>
      <c r="I703" s="7" t="s">
        <v>41</v>
      </c>
      <c r="J703" s="8">
        <v>49200</v>
      </c>
      <c r="K703" s="4" t="s">
        <v>41</v>
      </c>
      <c r="L703" s="9">
        <v>0.125</v>
      </c>
      <c r="M703" s="9">
        <v>0.05</v>
      </c>
      <c r="O703" s="7" t="s">
        <v>41</v>
      </c>
      <c r="P703" s="3">
        <f t="shared" ref="P703:P710" si="153">(C703+(E703*F703*H703))-N703</f>
        <v>0</v>
      </c>
      <c r="Q703" s="7" t="s">
        <v>41</v>
      </c>
      <c r="R703" s="8">
        <f t="shared" ref="R703:R710" si="154">P703*(J703-(J703*L703)-((J703-(J703*L703))*M703))</f>
        <v>0</v>
      </c>
      <c r="S703" s="8">
        <f t="shared" si="143"/>
        <v>0</v>
      </c>
    </row>
    <row r="704" spans="1:19" s="19" customFormat="1">
      <c r="A704" s="73" t="s">
        <v>460</v>
      </c>
      <c r="B704" s="19" t="s">
        <v>18</v>
      </c>
      <c r="C704" s="20"/>
      <c r="D704" s="21" t="s">
        <v>41</v>
      </c>
      <c r="E704" s="26"/>
      <c r="F704" s="22">
        <v>1</v>
      </c>
      <c r="G704" s="23" t="s">
        <v>20</v>
      </c>
      <c r="H704" s="22">
        <v>120</v>
      </c>
      <c r="I704" s="23" t="s">
        <v>41</v>
      </c>
      <c r="J704" s="24">
        <v>30600</v>
      </c>
      <c r="K704" s="21" t="s">
        <v>41</v>
      </c>
      <c r="L704" s="25">
        <v>0.125</v>
      </c>
      <c r="M704" s="25">
        <v>0.05</v>
      </c>
      <c r="N704" s="22"/>
      <c r="O704" s="23" t="s">
        <v>41</v>
      </c>
      <c r="P704" s="20">
        <f t="shared" si="153"/>
        <v>0</v>
      </c>
      <c r="Q704" s="23" t="s">
        <v>41</v>
      </c>
      <c r="R704" s="24">
        <f t="shared" si="154"/>
        <v>0</v>
      </c>
      <c r="S704" s="24">
        <f t="shared" si="143"/>
        <v>0</v>
      </c>
    </row>
    <row r="705" spans="1:19">
      <c r="A705" s="73" t="s">
        <v>461</v>
      </c>
      <c r="B705" s="2" t="s">
        <v>18</v>
      </c>
      <c r="D705" s="4" t="s">
        <v>41</v>
      </c>
      <c r="F705" s="6">
        <v>1</v>
      </c>
      <c r="G705" s="7" t="s">
        <v>20</v>
      </c>
      <c r="H705" s="6">
        <v>144</v>
      </c>
      <c r="I705" s="7" t="s">
        <v>41</v>
      </c>
      <c r="J705" s="8">
        <v>23400</v>
      </c>
      <c r="K705" s="4" t="s">
        <v>41</v>
      </c>
      <c r="L705" s="9">
        <v>0.125</v>
      </c>
      <c r="M705" s="9">
        <v>0.05</v>
      </c>
      <c r="O705" s="7" t="s">
        <v>41</v>
      </c>
      <c r="P705" s="3">
        <f t="shared" si="153"/>
        <v>0</v>
      </c>
      <c r="Q705" s="7" t="s">
        <v>41</v>
      </c>
      <c r="R705" s="8">
        <f t="shared" si="154"/>
        <v>0</v>
      </c>
      <c r="S705" s="8">
        <f t="shared" si="143"/>
        <v>0</v>
      </c>
    </row>
    <row r="706" spans="1:19">
      <c r="A706" s="73" t="s">
        <v>462</v>
      </c>
      <c r="B706" s="2" t="s">
        <v>18</v>
      </c>
      <c r="D706" s="4" t="s">
        <v>41</v>
      </c>
      <c r="F706" s="6">
        <v>1</v>
      </c>
      <c r="G706" s="7" t="s">
        <v>20</v>
      </c>
      <c r="H706" s="6">
        <v>144</v>
      </c>
      <c r="I706" s="7" t="s">
        <v>41</v>
      </c>
      <c r="J706" s="8">
        <v>40800</v>
      </c>
      <c r="K706" s="4" t="s">
        <v>41</v>
      </c>
      <c r="L706" s="9">
        <v>0.125</v>
      </c>
      <c r="M706" s="9">
        <v>0.05</v>
      </c>
      <c r="O706" s="7" t="s">
        <v>41</v>
      </c>
      <c r="P706" s="3">
        <f t="shared" si="153"/>
        <v>0</v>
      </c>
      <c r="Q706" s="7" t="s">
        <v>41</v>
      </c>
      <c r="R706" s="8">
        <f t="shared" si="154"/>
        <v>0</v>
      </c>
      <c r="S706" s="8">
        <f t="shared" si="143"/>
        <v>0</v>
      </c>
    </row>
    <row r="707" spans="1:19">
      <c r="A707" s="73" t="s">
        <v>764</v>
      </c>
      <c r="B707" s="2" t="s">
        <v>18</v>
      </c>
      <c r="D707" s="4" t="s">
        <v>41</v>
      </c>
      <c r="F707" s="6">
        <v>1</v>
      </c>
      <c r="G707" s="7" t="s">
        <v>20</v>
      </c>
      <c r="H707" s="6">
        <v>144</v>
      </c>
      <c r="I707" s="7" t="s">
        <v>41</v>
      </c>
      <c r="J707" s="8">
        <v>40800</v>
      </c>
      <c r="K707" s="4" t="s">
        <v>41</v>
      </c>
      <c r="L707" s="9">
        <v>0.125</v>
      </c>
      <c r="M707" s="9">
        <v>0.05</v>
      </c>
      <c r="O707" s="7" t="s">
        <v>41</v>
      </c>
      <c r="P707" s="3">
        <f t="shared" si="153"/>
        <v>0</v>
      </c>
      <c r="Q707" s="7" t="s">
        <v>41</v>
      </c>
      <c r="R707" s="8">
        <f t="shared" si="154"/>
        <v>0</v>
      </c>
      <c r="S707" s="8">
        <f t="shared" si="143"/>
        <v>0</v>
      </c>
    </row>
    <row r="708" spans="1:19">
      <c r="A708" s="95" t="s">
        <v>463</v>
      </c>
      <c r="B708" s="2" t="s">
        <v>18</v>
      </c>
      <c r="D708" s="4" t="s">
        <v>41</v>
      </c>
      <c r="E708" s="5">
        <v>1</v>
      </c>
      <c r="F708" s="6">
        <v>1</v>
      </c>
      <c r="G708" s="7" t="s">
        <v>20</v>
      </c>
      <c r="H708" s="6">
        <v>144</v>
      </c>
      <c r="I708" s="7" t="s">
        <v>41</v>
      </c>
      <c r="J708" s="94">
        <v>40800</v>
      </c>
      <c r="K708" s="4" t="s">
        <v>41</v>
      </c>
      <c r="L708" s="9">
        <v>0.125</v>
      </c>
      <c r="M708" s="9">
        <v>0.05</v>
      </c>
      <c r="O708" s="7" t="s">
        <v>41</v>
      </c>
      <c r="P708" s="3">
        <f t="shared" ref="P708" si="155">(C708+(E708*F708*H708))-N708</f>
        <v>144</v>
      </c>
      <c r="Q708" s="7" t="s">
        <v>41</v>
      </c>
      <c r="R708" s="8">
        <f t="shared" ref="R708" si="156">P708*(J708-(J708*L708)-((J708-(J708*L708))*M708))</f>
        <v>4883760</v>
      </c>
      <c r="S708" s="8">
        <f t="shared" ref="S708" si="157">R708/1.11</f>
        <v>4399783.7837837832</v>
      </c>
    </row>
    <row r="709" spans="1:19">
      <c r="A709" s="73" t="s">
        <v>463</v>
      </c>
      <c r="B709" s="2" t="s">
        <v>18</v>
      </c>
      <c r="D709" s="4" t="s">
        <v>41</v>
      </c>
      <c r="F709" s="6">
        <v>1</v>
      </c>
      <c r="G709" s="7" t="s">
        <v>20</v>
      </c>
      <c r="H709" s="6">
        <v>144</v>
      </c>
      <c r="I709" s="7" t="s">
        <v>41</v>
      </c>
      <c r="J709" s="8">
        <v>36000</v>
      </c>
      <c r="K709" s="4" t="s">
        <v>41</v>
      </c>
      <c r="L709" s="9">
        <v>0.125</v>
      </c>
      <c r="M709" s="9">
        <v>0.05</v>
      </c>
      <c r="O709" s="7" t="s">
        <v>41</v>
      </c>
      <c r="P709" s="3">
        <f t="shared" si="153"/>
        <v>0</v>
      </c>
      <c r="Q709" s="7" t="s">
        <v>41</v>
      </c>
      <c r="R709" s="8">
        <f t="shared" si="154"/>
        <v>0</v>
      </c>
      <c r="S709" s="8">
        <f t="shared" si="143"/>
        <v>0</v>
      </c>
    </row>
    <row r="710" spans="1:19">
      <c r="A710" s="73" t="s">
        <v>825</v>
      </c>
      <c r="B710" s="2" t="s">
        <v>18</v>
      </c>
      <c r="D710" s="4" t="s">
        <v>41</v>
      </c>
      <c r="F710" s="6">
        <v>1</v>
      </c>
      <c r="G710" s="7" t="s">
        <v>20</v>
      </c>
      <c r="H710" s="6">
        <v>144</v>
      </c>
      <c r="I710" s="7" t="s">
        <v>41</v>
      </c>
      <c r="J710" s="8">
        <v>25200</v>
      </c>
      <c r="K710" s="4" t="s">
        <v>41</v>
      </c>
      <c r="L710" s="9">
        <v>0.125</v>
      </c>
      <c r="M710" s="9">
        <v>0.05</v>
      </c>
      <c r="O710" s="7" t="s">
        <v>41</v>
      </c>
      <c r="P710" s="3">
        <f t="shared" si="153"/>
        <v>0</v>
      </c>
      <c r="Q710" s="7" t="s">
        <v>41</v>
      </c>
      <c r="R710" s="8">
        <f t="shared" si="154"/>
        <v>0</v>
      </c>
      <c r="S710" s="8">
        <f t="shared" si="143"/>
        <v>0</v>
      </c>
    </row>
    <row r="711" spans="1:19">
      <c r="A711" s="73"/>
    </row>
    <row r="712" spans="1:19">
      <c r="A712" s="17" t="s">
        <v>464</v>
      </c>
      <c r="B712" s="2" t="s">
        <v>25</v>
      </c>
      <c r="D712" s="4" t="s">
        <v>41</v>
      </c>
      <c r="F712" s="6">
        <v>1</v>
      </c>
      <c r="G712" s="7" t="s">
        <v>20</v>
      </c>
      <c r="H712" s="6">
        <v>144</v>
      </c>
      <c r="I712" s="7" t="s">
        <v>41</v>
      </c>
      <c r="J712" s="8">
        <f>6739200/144</f>
        <v>46800</v>
      </c>
      <c r="K712" s="4" t="s">
        <v>41</v>
      </c>
      <c r="M712" s="9">
        <v>0.17</v>
      </c>
      <c r="O712" s="7" t="s">
        <v>41</v>
      </c>
      <c r="P712" s="3">
        <f>(C712+(E712*F712*H712))-N712</f>
        <v>0</v>
      </c>
      <c r="Q712" s="7" t="s">
        <v>41</v>
      </c>
      <c r="R712" s="8">
        <f>P712*(J712-(J712*L712)-((J712-(J712*L712))*M712))</f>
        <v>0</v>
      </c>
      <c r="S712" s="8">
        <f t="shared" si="143"/>
        <v>0</v>
      </c>
    </row>
    <row r="713" spans="1:19">
      <c r="A713" s="17" t="s">
        <v>465</v>
      </c>
      <c r="B713" s="2" t="s">
        <v>25</v>
      </c>
      <c r="C713" s="20"/>
      <c r="D713" s="4" t="s">
        <v>41</v>
      </c>
      <c r="F713" s="6">
        <v>1</v>
      </c>
      <c r="G713" s="7" t="s">
        <v>20</v>
      </c>
      <c r="H713" s="6">
        <v>144</v>
      </c>
      <c r="I713" s="7" t="s">
        <v>41</v>
      </c>
      <c r="J713" s="8">
        <f>4492800/144</f>
        <v>31200</v>
      </c>
      <c r="K713" s="4" t="s">
        <v>41</v>
      </c>
      <c r="M713" s="9">
        <v>0.17</v>
      </c>
      <c r="O713" s="7" t="s">
        <v>41</v>
      </c>
      <c r="P713" s="3">
        <f>(C713+(E713*F713*H713))-N713</f>
        <v>0</v>
      </c>
      <c r="Q713" s="7" t="s">
        <v>41</v>
      </c>
      <c r="R713" s="8">
        <f>P713*(J713-(J713*L713)-((J713-(J713*L713))*M713))</f>
        <v>0</v>
      </c>
      <c r="S713" s="8">
        <f t="shared" si="143"/>
        <v>0</v>
      </c>
    </row>
    <row r="714" spans="1:19">
      <c r="A714" s="17" t="s">
        <v>466</v>
      </c>
      <c r="B714" s="2" t="s">
        <v>25</v>
      </c>
      <c r="C714" s="20"/>
      <c r="D714" s="4" t="s">
        <v>41</v>
      </c>
      <c r="F714" s="6">
        <v>1</v>
      </c>
      <c r="G714" s="7" t="s">
        <v>20</v>
      </c>
      <c r="H714" s="6">
        <v>144</v>
      </c>
      <c r="I714" s="7" t="s">
        <v>41</v>
      </c>
      <c r="J714" s="8">
        <v>29400</v>
      </c>
      <c r="K714" s="4" t="s">
        <v>41</v>
      </c>
      <c r="M714" s="9">
        <v>0.17</v>
      </c>
      <c r="O714" s="7" t="s">
        <v>41</v>
      </c>
      <c r="P714" s="3">
        <f>(C714+(E714*F714*H714))-N714</f>
        <v>0</v>
      </c>
      <c r="Q714" s="7" t="s">
        <v>41</v>
      </c>
      <c r="R714" s="8">
        <f>P714*(J714-(J714*L714)-((J714-(J714*L714))*M714))</f>
        <v>0</v>
      </c>
      <c r="S714" s="8">
        <f t="shared" si="143"/>
        <v>0</v>
      </c>
    </row>
    <row r="715" spans="1:19">
      <c r="A715" s="17" t="s">
        <v>467</v>
      </c>
      <c r="B715" s="2" t="s">
        <v>25</v>
      </c>
      <c r="C715" s="20"/>
      <c r="D715" s="4" t="s">
        <v>41</v>
      </c>
      <c r="F715" s="6">
        <v>1</v>
      </c>
      <c r="G715" s="7" t="s">
        <v>20</v>
      </c>
      <c r="H715" s="6">
        <v>144</v>
      </c>
      <c r="I715" s="7" t="s">
        <v>41</v>
      </c>
      <c r="J715" s="8">
        <f>2764800/144</f>
        <v>19200</v>
      </c>
      <c r="K715" s="4" t="s">
        <v>41</v>
      </c>
      <c r="M715" s="9">
        <v>0.17</v>
      </c>
      <c r="O715" s="7" t="s">
        <v>41</v>
      </c>
      <c r="P715" s="3">
        <f>(C715+(E715*F715*H715))-N715</f>
        <v>0</v>
      </c>
      <c r="Q715" s="7" t="s">
        <v>41</v>
      </c>
      <c r="R715" s="8">
        <f>P715*(J715-(J715*L715)-((J715-(J715*L715))*M715))</f>
        <v>0</v>
      </c>
      <c r="S715" s="8">
        <f t="shared" ref="S715:S812" si="158">R715/1.11</f>
        <v>0</v>
      </c>
    </row>
    <row r="716" spans="1:19">
      <c r="A716" s="17" t="s">
        <v>468</v>
      </c>
      <c r="B716" s="2" t="s">
        <v>25</v>
      </c>
      <c r="C716" s="20"/>
      <c r="D716" s="4" t="s">
        <v>41</v>
      </c>
      <c r="F716" s="6">
        <v>1</v>
      </c>
      <c r="G716" s="7" t="s">
        <v>20</v>
      </c>
      <c r="H716" s="6">
        <v>144</v>
      </c>
      <c r="I716" s="7" t="s">
        <v>41</v>
      </c>
      <c r="J716" s="8">
        <f>3369600/144</f>
        <v>23400</v>
      </c>
      <c r="K716" s="4" t="s">
        <v>41</v>
      </c>
      <c r="M716" s="9">
        <v>0.17</v>
      </c>
      <c r="O716" s="7" t="s">
        <v>41</v>
      </c>
      <c r="P716" s="3">
        <f>(C716+(E716*F716*H716))-N716</f>
        <v>0</v>
      </c>
      <c r="Q716" s="7" t="s">
        <v>41</v>
      </c>
      <c r="R716" s="8">
        <f>P716*(J716-(J716*L716)-((J716-(J716*L716))*M716))</f>
        <v>0</v>
      </c>
      <c r="S716" s="8">
        <f t="shared" si="158"/>
        <v>0</v>
      </c>
    </row>
    <row r="717" spans="1:19">
      <c r="C717" s="20"/>
    </row>
    <row r="718" spans="1:19">
      <c r="A718" s="17" t="s">
        <v>469</v>
      </c>
      <c r="B718" s="2" t="s">
        <v>266</v>
      </c>
      <c r="C718" s="20"/>
      <c r="D718" s="4" t="s">
        <v>41</v>
      </c>
      <c r="F718" s="6">
        <v>1</v>
      </c>
      <c r="G718" s="7" t="s">
        <v>20</v>
      </c>
      <c r="H718" s="6">
        <v>144</v>
      </c>
      <c r="I718" s="7" t="s">
        <v>41</v>
      </c>
      <c r="J718" s="8">
        <v>12500</v>
      </c>
      <c r="K718" s="4" t="s">
        <v>41</v>
      </c>
      <c r="O718" s="7" t="s">
        <v>41</v>
      </c>
      <c r="P718" s="3">
        <f>(C718+(E718*F718*H718))-N718</f>
        <v>0</v>
      </c>
      <c r="Q718" s="7" t="s">
        <v>41</v>
      </c>
      <c r="R718" s="8">
        <f>P718*(J718-(J718*L718)-((J718-(J718*L718))*M718))</f>
        <v>0</v>
      </c>
      <c r="S718" s="8">
        <f>R718/1.11</f>
        <v>0</v>
      </c>
    </row>
    <row r="719" spans="1:19">
      <c r="A719" s="17" t="s">
        <v>470</v>
      </c>
      <c r="B719" s="2" t="s">
        <v>266</v>
      </c>
      <c r="C719" s="20"/>
      <c r="D719" s="4" t="s">
        <v>41</v>
      </c>
      <c r="F719" s="6">
        <v>1</v>
      </c>
      <c r="G719" s="7" t="s">
        <v>20</v>
      </c>
      <c r="H719" s="6">
        <v>144</v>
      </c>
      <c r="I719" s="7" t="s">
        <v>41</v>
      </c>
      <c r="J719" s="8">
        <v>12500</v>
      </c>
      <c r="K719" s="4" t="s">
        <v>41</v>
      </c>
      <c r="O719" s="7" t="s">
        <v>41</v>
      </c>
      <c r="P719" s="3">
        <f>(C719+(E719*F719*H719))-N719</f>
        <v>0</v>
      </c>
      <c r="Q719" s="7" t="s">
        <v>41</v>
      </c>
      <c r="R719" s="8">
        <f>P719*(J719-(J719*L719)-((J719-(J719*L719))*M719))</f>
        <v>0</v>
      </c>
      <c r="S719" s="8">
        <f>R719/1.11</f>
        <v>0</v>
      </c>
    </row>
    <row r="720" spans="1:19">
      <c r="A720" s="17" t="s">
        <v>471</v>
      </c>
      <c r="B720" s="2" t="s">
        <v>266</v>
      </c>
      <c r="D720" s="4" t="s">
        <v>41</v>
      </c>
      <c r="F720" s="6">
        <v>1</v>
      </c>
      <c r="G720" s="7" t="s">
        <v>20</v>
      </c>
      <c r="H720" s="6">
        <v>96</v>
      </c>
      <c r="I720" s="7" t="s">
        <v>41</v>
      </c>
      <c r="J720" s="8">
        <v>27500</v>
      </c>
      <c r="K720" s="4" t="s">
        <v>41</v>
      </c>
      <c r="O720" s="7" t="s">
        <v>41</v>
      </c>
      <c r="P720" s="3">
        <f>(C720+(E720*F720*H720))-N720</f>
        <v>0</v>
      </c>
      <c r="Q720" s="7" t="s">
        <v>41</v>
      </c>
      <c r="R720" s="8">
        <f>P720*(J720-(J720*L720)-((J720-(J720*L720))*M720))</f>
        <v>0</v>
      </c>
      <c r="S720" s="8">
        <f>R720/1.11</f>
        <v>0</v>
      </c>
    </row>
    <row r="722" spans="1:19">
      <c r="A722" s="15" t="s">
        <v>672</v>
      </c>
    </row>
    <row r="723" spans="1:19">
      <c r="A723" s="73" t="s">
        <v>673</v>
      </c>
      <c r="B723" s="2" t="s">
        <v>18</v>
      </c>
      <c r="D723" s="4" t="s">
        <v>85</v>
      </c>
      <c r="E723" s="5">
        <v>2</v>
      </c>
      <c r="F723" s="6">
        <v>1</v>
      </c>
      <c r="G723" s="7" t="s">
        <v>20</v>
      </c>
      <c r="H723" s="6">
        <v>12</v>
      </c>
      <c r="I723" s="7" t="s">
        <v>85</v>
      </c>
      <c r="J723" s="8">
        <v>176400</v>
      </c>
      <c r="K723" s="4" t="s">
        <v>85</v>
      </c>
      <c r="L723" s="9">
        <v>0.125</v>
      </c>
      <c r="M723" s="9">
        <v>0.05</v>
      </c>
      <c r="O723" s="7" t="s">
        <v>85</v>
      </c>
      <c r="P723" s="3">
        <f t="shared" ref="P723:P731" si="159">(C723+(E723*F723*H723))-N723</f>
        <v>24</v>
      </c>
      <c r="Q723" s="7" t="s">
        <v>85</v>
      </c>
      <c r="R723" s="8">
        <f t="shared" ref="R723:R731" si="160">P723*(J723-(J723*L723)-((J723-(J723*L723))*M723))</f>
        <v>3519180</v>
      </c>
      <c r="S723" s="8">
        <f t="shared" si="158"/>
        <v>3170432.4324324322</v>
      </c>
    </row>
    <row r="724" spans="1:19">
      <c r="A724" s="73" t="s">
        <v>674</v>
      </c>
      <c r="B724" s="2" t="s">
        <v>18</v>
      </c>
      <c r="D724" s="4" t="s">
        <v>85</v>
      </c>
      <c r="F724" s="6">
        <v>12</v>
      </c>
      <c r="G724" s="7" t="s">
        <v>33</v>
      </c>
      <c r="H724" s="6">
        <v>1</v>
      </c>
      <c r="I724" s="7" t="s">
        <v>85</v>
      </c>
      <c r="J724" s="8">
        <v>183600</v>
      </c>
      <c r="K724" s="4" t="s">
        <v>85</v>
      </c>
      <c r="L724" s="9">
        <v>0.125</v>
      </c>
      <c r="M724" s="9">
        <v>0.05</v>
      </c>
      <c r="O724" s="7" t="s">
        <v>85</v>
      </c>
      <c r="P724" s="3">
        <f t="shared" si="159"/>
        <v>0</v>
      </c>
      <c r="Q724" s="7" t="s">
        <v>85</v>
      </c>
      <c r="R724" s="8">
        <f t="shared" si="160"/>
        <v>0</v>
      </c>
      <c r="S724" s="8">
        <f t="shared" si="158"/>
        <v>0</v>
      </c>
    </row>
    <row r="725" spans="1:19">
      <c r="A725" s="95" t="s">
        <v>675</v>
      </c>
      <c r="B725" s="2" t="s">
        <v>18</v>
      </c>
      <c r="D725" s="4" t="s">
        <v>41</v>
      </c>
      <c r="E725" s="5">
        <v>4</v>
      </c>
      <c r="F725" s="6">
        <v>12</v>
      </c>
      <c r="G725" s="7" t="s">
        <v>85</v>
      </c>
      <c r="H725" s="6">
        <v>12</v>
      </c>
      <c r="I725" s="7" t="s">
        <v>41</v>
      </c>
      <c r="J725" s="94">
        <v>19800</v>
      </c>
      <c r="K725" s="4" t="s">
        <v>41</v>
      </c>
      <c r="L725" s="9">
        <v>0.125</v>
      </c>
      <c r="M725" s="9">
        <v>0.05</v>
      </c>
      <c r="O725" s="7" t="s">
        <v>41</v>
      </c>
      <c r="P725" s="3">
        <f t="shared" ref="P725" si="161">(C725+(E725*F725*H725))-N725</f>
        <v>576</v>
      </c>
      <c r="Q725" s="7" t="s">
        <v>41</v>
      </c>
      <c r="R725" s="8">
        <f t="shared" ref="R725" si="162">P725*(J725-(J725*L725)-((J725-(J725*L725))*M725))</f>
        <v>9480240</v>
      </c>
      <c r="S725" s="8">
        <f t="shared" ref="S725" si="163">R725/1.11</f>
        <v>8540756.7567567565</v>
      </c>
    </row>
    <row r="726" spans="1:19">
      <c r="A726" s="73" t="s">
        <v>675</v>
      </c>
      <c r="B726" s="2" t="s">
        <v>18</v>
      </c>
      <c r="D726" s="4" t="s">
        <v>41</v>
      </c>
      <c r="F726" s="6">
        <v>12</v>
      </c>
      <c r="G726" s="7" t="s">
        <v>85</v>
      </c>
      <c r="H726" s="6">
        <v>12</v>
      </c>
      <c r="I726" s="7" t="s">
        <v>41</v>
      </c>
      <c r="J726" s="8">
        <v>17100</v>
      </c>
      <c r="K726" s="4" t="s">
        <v>41</v>
      </c>
      <c r="L726" s="9">
        <v>0.125</v>
      </c>
      <c r="M726" s="9">
        <v>0.05</v>
      </c>
      <c r="O726" s="7" t="s">
        <v>41</v>
      </c>
      <c r="P726" s="3">
        <f t="shared" si="159"/>
        <v>0</v>
      </c>
      <c r="Q726" s="7" t="s">
        <v>41</v>
      </c>
      <c r="R726" s="8">
        <f t="shared" si="160"/>
        <v>0</v>
      </c>
      <c r="S726" s="8">
        <f t="shared" si="158"/>
        <v>0</v>
      </c>
    </row>
    <row r="727" spans="1:19">
      <c r="A727" s="95" t="s">
        <v>676</v>
      </c>
      <c r="B727" s="2" t="s">
        <v>18</v>
      </c>
      <c r="D727" s="4" t="s">
        <v>41</v>
      </c>
      <c r="E727" s="5">
        <v>9</v>
      </c>
      <c r="F727" s="6">
        <v>12</v>
      </c>
      <c r="G727" s="7" t="s">
        <v>85</v>
      </c>
      <c r="H727" s="6">
        <v>6</v>
      </c>
      <c r="I727" s="7" t="s">
        <v>41</v>
      </c>
      <c r="J727" s="94">
        <f>3100*12</f>
        <v>37200</v>
      </c>
      <c r="K727" s="4" t="s">
        <v>41</v>
      </c>
      <c r="L727" s="9">
        <v>0.125</v>
      </c>
      <c r="M727" s="9">
        <v>0.05</v>
      </c>
      <c r="O727" s="7" t="s">
        <v>41</v>
      </c>
      <c r="P727" s="3">
        <f t="shared" ref="P727" si="164">(C727+(E727*F727*H727))-N727</f>
        <v>648</v>
      </c>
      <c r="Q727" s="7" t="s">
        <v>41</v>
      </c>
      <c r="R727" s="8">
        <f t="shared" ref="R727" si="165">P727*(J727-(J727*L727)-((J727-(J727*L727))*M727))</f>
        <v>20037780</v>
      </c>
      <c r="S727" s="8">
        <f t="shared" ref="S727" si="166">R727/1.11</f>
        <v>18052054.054054052</v>
      </c>
    </row>
    <row r="728" spans="1:19">
      <c r="A728" s="73" t="s">
        <v>676</v>
      </c>
      <c r="B728" s="2" t="s">
        <v>18</v>
      </c>
      <c r="D728" s="4" t="s">
        <v>41</v>
      </c>
      <c r="F728" s="6">
        <v>12</v>
      </c>
      <c r="G728" s="7" t="s">
        <v>85</v>
      </c>
      <c r="H728" s="6">
        <v>6</v>
      </c>
      <c r="I728" s="7" t="s">
        <v>41</v>
      </c>
      <c r="J728" s="8">
        <v>34500</v>
      </c>
      <c r="K728" s="4" t="s">
        <v>41</v>
      </c>
      <c r="L728" s="9">
        <v>0.125</v>
      </c>
      <c r="M728" s="9">
        <v>0.05</v>
      </c>
      <c r="O728" s="7" t="s">
        <v>41</v>
      </c>
      <c r="P728" s="3">
        <f t="shared" si="159"/>
        <v>0</v>
      </c>
      <c r="Q728" s="7" t="s">
        <v>41</v>
      </c>
      <c r="R728" s="8">
        <f t="shared" si="160"/>
        <v>0</v>
      </c>
      <c r="S728" s="8">
        <f t="shared" si="158"/>
        <v>0</v>
      </c>
    </row>
    <row r="729" spans="1:19">
      <c r="A729" s="95" t="s">
        <v>677</v>
      </c>
      <c r="B729" s="2" t="s">
        <v>18</v>
      </c>
      <c r="D729" s="4" t="s">
        <v>85</v>
      </c>
      <c r="E729" s="5">
        <v>1</v>
      </c>
      <c r="F729" s="6">
        <v>1</v>
      </c>
      <c r="G729" s="7" t="s">
        <v>20</v>
      </c>
      <c r="H729" s="6">
        <v>12</v>
      </c>
      <c r="I729" s="7" t="s">
        <v>85</v>
      </c>
      <c r="J729" s="94">
        <v>198000</v>
      </c>
      <c r="K729" s="4" t="s">
        <v>85</v>
      </c>
      <c r="L729" s="9">
        <v>0.125</v>
      </c>
      <c r="M729" s="9">
        <v>0.05</v>
      </c>
      <c r="O729" s="7" t="s">
        <v>85</v>
      </c>
      <c r="P729" s="3">
        <f t="shared" ref="P729" si="167">(C729+(E729*F729*H729))-N729</f>
        <v>12</v>
      </c>
      <c r="Q729" s="7" t="s">
        <v>85</v>
      </c>
      <c r="R729" s="8">
        <f t="shared" ref="R729" si="168">P729*(J729-(J729*L729)-((J729-(J729*L729))*M729))</f>
        <v>1975050</v>
      </c>
      <c r="S729" s="8">
        <f t="shared" ref="S729" si="169">R729/1.11</f>
        <v>1779324.3243243243</v>
      </c>
    </row>
    <row r="730" spans="1:19">
      <c r="A730" s="73" t="s">
        <v>677</v>
      </c>
      <c r="B730" s="2" t="s">
        <v>18</v>
      </c>
      <c r="D730" s="4" t="s">
        <v>85</v>
      </c>
      <c r="F730" s="6">
        <v>1</v>
      </c>
      <c r="G730" s="7" t="s">
        <v>20</v>
      </c>
      <c r="H730" s="6">
        <v>12</v>
      </c>
      <c r="I730" s="7" t="s">
        <v>85</v>
      </c>
      <c r="J730" s="8">
        <v>183600</v>
      </c>
      <c r="K730" s="4" t="s">
        <v>85</v>
      </c>
      <c r="L730" s="9">
        <v>0.125</v>
      </c>
      <c r="M730" s="9">
        <v>0.05</v>
      </c>
      <c r="O730" s="7" t="s">
        <v>85</v>
      </c>
      <c r="P730" s="3">
        <f t="shared" si="159"/>
        <v>0</v>
      </c>
      <c r="Q730" s="7" t="s">
        <v>85</v>
      </c>
      <c r="R730" s="8">
        <f t="shared" si="160"/>
        <v>0</v>
      </c>
      <c r="S730" s="8">
        <f t="shared" si="158"/>
        <v>0</v>
      </c>
    </row>
    <row r="731" spans="1:19">
      <c r="A731" s="73" t="s">
        <v>765</v>
      </c>
      <c r="B731" s="2" t="s">
        <v>18</v>
      </c>
      <c r="D731" s="4" t="s">
        <v>41</v>
      </c>
      <c r="E731" s="5">
        <v>1</v>
      </c>
      <c r="F731" s="6">
        <v>1</v>
      </c>
      <c r="G731" s="7" t="s">
        <v>20</v>
      </c>
      <c r="H731" s="6">
        <v>72</v>
      </c>
      <c r="I731" s="7" t="s">
        <v>41</v>
      </c>
      <c r="J731" s="8">
        <v>39600</v>
      </c>
      <c r="K731" s="4" t="s">
        <v>41</v>
      </c>
      <c r="L731" s="9">
        <v>0.125</v>
      </c>
      <c r="M731" s="9">
        <v>0.05</v>
      </c>
      <c r="O731" s="7" t="s">
        <v>85</v>
      </c>
      <c r="P731" s="3">
        <f t="shared" si="159"/>
        <v>72</v>
      </c>
      <c r="Q731" s="7" t="s">
        <v>85</v>
      </c>
      <c r="R731" s="8">
        <f t="shared" si="160"/>
        <v>2370060</v>
      </c>
      <c r="S731" s="8">
        <f t="shared" si="158"/>
        <v>2135189.1891891891</v>
      </c>
    </row>
    <row r="732" spans="1:19">
      <c r="A732" s="73"/>
    </row>
    <row r="733" spans="1:19">
      <c r="A733" s="73" t="s">
        <v>678</v>
      </c>
      <c r="B733" s="2" t="s">
        <v>25</v>
      </c>
      <c r="D733" s="4" t="s">
        <v>85</v>
      </c>
      <c r="E733" s="5">
        <v>1</v>
      </c>
      <c r="F733" s="6">
        <v>1</v>
      </c>
      <c r="G733" s="7" t="s">
        <v>20</v>
      </c>
      <c r="H733" s="6">
        <v>18</v>
      </c>
      <c r="I733" s="7" t="s">
        <v>85</v>
      </c>
      <c r="J733" s="8">
        <f>3240000/18</f>
        <v>180000</v>
      </c>
      <c r="K733" s="4" t="s">
        <v>85</v>
      </c>
      <c r="M733" s="9">
        <v>0.17</v>
      </c>
      <c r="O733" s="7" t="s">
        <v>85</v>
      </c>
      <c r="P733" s="3">
        <f>(C733+(E733*F733*H733))-N733</f>
        <v>18</v>
      </c>
      <c r="Q733" s="7" t="s">
        <v>85</v>
      </c>
      <c r="R733" s="8">
        <f>P733*(J733-(J733*L733)-((J733-(J733*L733))*M733))</f>
        <v>2689200</v>
      </c>
      <c r="S733" s="8">
        <f t="shared" si="158"/>
        <v>2422702.7027027025</v>
      </c>
    </row>
    <row r="734" spans="1:19">
      <c r="A734" s="17" t="s">
        <v>679</v>
      </c>
      <c r="B734" s="2" t="s">
        <v>25</v>
      </c>
      <c r="D734" s="4" t="s">
        <v>41</v>
      </c>
      <c r="F734" s="6">
        <v>12</v>
      </c>
      <c r="G734" s="7" t="s">
        <v>85</v>
      </c>
      <c r="H734" s="6">
        <v>12</v>
      </c>
      <c r="I734" s="7" t="s">
        <v>41</v>
      </c>
      <c r="J734" s="8">
        <v>14400</v>
      </c>
      <c r="K734" s="4" t="s">
        <v>41</v>
      </c>
      <c r="M734" s="9">
        <v>0.17</v>
      </c>
      <c r="O734" s="7" t="s">
        <v>41</v>
      </c>
      <c r="P734" s="3">
        <f>(C734+(E734*F734*H734))-N734</f>
        <v>0</v>
      </c>
      <c r="Q734" s="7" t="s">
        <v>41</v>
      </c>
      <c r="R734" s="8">
        <f>P734*(J734-(J734*L734)-((J734-(J734*L734))*M734))</f>
        <v>0</v>
      </c>
      <c r="S734" s="8">
        <f t="shared" si="158"/>
        <v>0</v>
      </c>
    </row>
    <row r="735" spans="1:19">
      <c r="A735" s="17" t="s">
        <v>680</v>
      </c>
      <c r="B735" s="2" t="s">
        <v>25</v>
      </c>
      <c r="D735" s="4" t="s">
        <v>41</v>
      </c>
      <c r="F735" s="6">
        <v>12</v>
      </c>
      <c r="G735" s="7" t="s">
        <v>85</v>
      </c>
      <c r="H735" s="6">
        <v>12</v>
      </c>
      <c r="I735" s="7" t="s">
        <v>41</v>
      </c>
      <c r="J735" s="8">
        <f>2937600/12/12</f>
        <v>20400</v>
      </c>
      <c r="K735" s="4" t="s">
        <v>41</v>
      </c>
      <c r="M735" s="9">
        <v>0.17</v>
      </c>
      <c r="O735" s="7" t="s">
        <v>41</v>
      </c>
      <c r="P735" s="3">
        <f>(C735+(E735*F735*H735))-N735</f>
        <v>0</v>
      </c>
      <c r="Q735" s="7" t="s">
        <v>41</v>
      </c>
      <c r="R735" s="8">
        <f>P735*(J735-(J735*L735)-((J735-(J735*L735))*M735))</f>
        <v>0</v>
      </c>
      <c r="S735" s="8">
        <f t="shared" si="158"/>
        <v>0</v>
      </c>
    </row>
    <row r="737" spans="1:19">
      <c r="A737" s="17" t="s">
        <v>808</v>
      </c>
      <c r="B737" s="2" t="s">
        <v>187</v>
      </c>
      <c r="C737" s="20"/>
      <c r="D737" s="4" t="s">
        <v>157</v>
      </c>
      <c r="F737" s="6">
        <v>40</v>
      </c>
      <c r="G737" s="7" t="s">
        <v>33</v>
      </c>
      <c r="H737" s="6">
        <f>1600/40</f>
        <v>40</v>
      </c>
      <c r="I737" s="7" t="s">
        <v>157</v>
      </c>
      <c r="J737" s="8">
        <v>1532</v>
      </c>
      <c r="K737" s="4" t="s">
        <v>157</v>
      </c>
      <c r="O737" s="7" t="s">
        <v>157</v>
      </c>
      <c r="P737" s="3">
        <f>(C737+(E737*F737*H737))-N737</f>
        <v>0</v>
      </c>
      <c r="Q737" s="7" t="s">
        <v>157</v>
      </c>
      <c r="R737" s="8">
        <f>P737*(J737-(J737*L737)-((J737-(J737*L737))*M737))</f>
        <v>0</v>
      </c>
      <c r="S737" s="8">
        <f t="shared" si="158"/>
        <v>0</v>
      </c>
    </row>
    <row r="739" spans="1:19">
      <c r="A739" s="15" t="s">
        <v>472</v>
      </c>
    </row>
    <row r="740" spans="1:19" s="19" customFormat="1">
      <c r="A740" s="18" t="s">
        <v>473</v>
      </c>
      <c r="B740" s="19" t="s">
        <v>18</v>
      </c>
      <c r="C740" s="20"/>
      <c r="D740" s="21" t="s">
        <v>157</v>
      </c>
      <c r="E740" s="26"/>
      <c r="F740" s="22">
        <v>12</v>
      </c>
      <c r="G740" s="23" t="s">
        <v>33</v>
      </c>
      <c r="H740" s="22">
        <v>24</v>
      </c>
      <c r="I740" s="23" t="s">
        <v>157</v>
      </c>
      <c r="J740" s="24">
        <v>6700</v>
      </c>
      <c r="K740" s="21" t="s">
        <v>157</v>
      </c>
      <c r="L740" s="25">
        <v>0.125</v>
      </c>
      <c r="M740" s="25">
        <v>0.05</v>
      </c>
      <c r="N740" s="22"/>
      <c r="O740" s="23" t="s">
        <v>157</v>
      </c>
      <c r="P740" s="20">
        <f t="shared" ref="P740:P754" si="170">(C740+(E740*F740*H740))-N740</f>
        <v>0</v>
      </c>
      <c r="Q740" s="23" t="s">
        <v>157</v>
      </c>
      <c r="R740" s="24">
        <f t="shared" ref="R740:R754" si="171">P740*(J740-(J740*L740)-((J740-(J740*L740))*M740))</f>
        <v>0</v>
      </c>
      <c r="S740" s="24">
        <f t="shared" si="158"/>
        <v>0</v>
      </c>
    </row>
    <row r="741" spans="1:19" s="19" customFormat="1">
      <c r="A741" s="18" t="s">
        <v>474</v>
      </c>
      <c r="B741" s="19" t="s">
        <v>18</v>
      </c>
      <c r="C741" s="20"/>
      <c r="D741" s="21" t="s">
        <v>157</v>
      </c>
      <c r="E741" s="26">
        <v>1</v>
      </c>
      <c r="F741" s="22">
        <v>12</v>
      </c>
      <c r="G741" s="23" t="s">
        <v>33</v>
      </c>
      <c r="H741" s="22">
        <v>12</v>
      </c>
      <c r="I741" s="23" t="s">
        <v>157</v>
      </c>
      <c r="J741" s="24">
        <v>13800</v>
      </c>
      <c r="K741" s="21" t="s">
        <v>157</v>
      </c>
      <c r="L741" s="25">
        <v>0.125</v>
      </c>
      <c r="M741" s="25">
        <v>0.05</v>
      </c>
      <c r="N741" s="22"/>
      <c r="O741" s="23" t="s">
        <v>157</v>
      </c>
      <c r="P741" s="20">
        <f t="shared" si="170"/>
        <v>144</v>
      </c>
      <c r="Q741" s="23" t="s">
        <v>157</v>
      </c>
      <c r="R741" s="24">
        <f t="shared" si="171"/>
        <v>1651860</v>
      </c>
      <c r="S741" s="8">
        <f t="shared" si="158"/>
        <v>1488162.1621621621</v>
      </c>
    </row>
    <row r="742" spans="1:19" s="19" customFormat="1">
      <c r="A742" s="18" t="s">
        <v>475</v>
      </c>
      <c r="B742" s="19" t="s">
        <v>18</v>
      </c>
      <c r="C742" s="20"/>
      <c r="D742" s="21" t="s">
        <v>157</v>
      </c>
      <c r="E742" s="26">
        <v>6</v>
      </c>
      <c r="F742" s="22">
        <v>12</v>
      </c>
      <c r="G742" s="23" t="s">
        <v>33</v>
      </c>
      <c r="H742" s="22">
        <v>12</v>
      </c>
      <c r="I742" s="23" t="s">
        <v>157</v>
      </c>
      <c r="J742" s="24">
        <v>10600</v>
      </c>
      <c r="K742" s="21" t="s">
        <v>157</v>
      </c>
      <c r="L742" s="25">
        <v>0.125</v>
      </c>
      <c r="M742" s="25">
        <v>0.05</v>
      </c>
      <c r="N742" s="22"/>
      <c r="O742" s="23" t="s">
        <v>157</v>
      </c>
      <c r="P742" s="20">
        <f t="shared" si="170"/>
        <v>864</v>
      </c>
      <c r="Q742" s="23" t="s">
        <v>157</v>
      </c>
      <c r="R742" s="24">
        <f t="shared" si="171"/>
        <v>7612920</v>
      </c>
      <c r="S742" s="24">
        <f t="shared" si="158"/>
        <v>6858486.4864864862</v>
      </c>
    </row>
    <row r="743" spans="1:19" s="19" customFormat="1">
      <c r="A743" s="18" t="s">
        <v>476</v>
      </c>
      <c r="B743" s="19" t="s">
        <v>18</v>
      </c>
      <c r="C743" s="20"/>
      <c r="D743" s="21" t="s">
        <v>157</v>
      </c>
      <c r="E743" s="26">
        <v>4</v>
      </c>
      <c r="F743" s="22">
        <v>12</v>
      </c>
      <c r="G743" s="23" t="s">
        <v>33</v>
      </c>
      <c r="H743" s="22">
        <v>6</v>
      </c>
      <c r="I743" s="23" t="s">
        <v>157</v>
      </c>
      <c r="J743" s="24">
        <v>21200</v>
      </c>
      <c r="K743" s="21" t="s">
        <v>157</v>
      </c>
      <c r="L743" s="25">
        <v>0.125</v>
      </c>
      <c r="M743" s="25">
        <v>0.05</v>
      </c>
      <c r="N743" s="22"/>
      <c r="O743" s="23" t="s">
        <v>157</v>
      </c>
      <c r="P743" s="20">
        <f t="shared" si="170"/>
        <v>288</v>
      </c>
      <c r="Q743" s="23" t="s">
        <v>157</v>
      </c>
      <c r="R743" s="24">
        <f t="shared" si="171"/>
        <v>5075280</v>
      </c>
      <c r="S743" s="8">
        <f t="shared" si="158"/>
        <v>4572324.3243243238</v>
      </c>
    </row>
    <row r="744" spans="1:19" s="19" customFormat="1">
      <c r="A744" s="18" t="s">
        <v>477</v>
      </c>
      <c r="B744" s="19" t="s">
        <v>18</v>
      </c>
      <c r="C744" s="20"/>
      <c r="D744" s="21" t="s">
        <v>157</v>
      </c>
      <c r="E744" s="26"/>
      <c r="F744" s="22">
        <v>8</v>
      </c>
      <c r="G744" s="23" t="s">
        <v>33</v>
      </c>
      <c r="H744" s="22">
        <v>6</v>
      </c>
      <c r="I744" s="23" t="s">
        <v>157</v>
      </c>
      <c r="J744" s="24">
        <v>35000</v>
      </c>
      <c r="K744" s="21" t="s">
        <v>157</v>
      </c>
      <c r="L744" s="25">
        <v>0.125</v>
      </c>
      <c r="M744" s="25">
        <v>0.05</v>
      </c>
      <c r="N744" s="22"/>
      <c r="O744" s="23" t="s">
        <v>157</v>
      </c>
      <c r="P744" s="20">
        <f t="shared" si="170"/>
        <v>0</v>
      </c>
      <c r="Q744" s="23" t="s">
        <v>157</v>
      </c>
      <c r="R744" s="24">
        <f t="shared" si="171"/>
        <v>0</v>
      </c>
      <c r="S744" s="8">
        <f t="shared" si="158"/>
        <v>0</v>
      </c>
    </row>
    <row r="745" spans="1:19" s="19" customFormat="1">
      <c r="A745" s="18" t="s">
        <v>478</v>
      </c>
      <c r="B745" s="19" t="s">
        <v>18</v>
      </c>
      <c r="C745" s="20"/>
      <c r="D745" s="21" t="s">
        <v>157</v>
      </c>
      <c r="E745" s="26"/>
      <c r="F745" s="22">
        <v>12</v>
      </c>
      <c r="G745" s="23" t="s">
        <v>33</v>
      </c>
      <c r="H745" s="22">
        <v>12</v>
      </c>
      <c r="I745" s="23" t="s">
        <v>157</v>
      </c>
      <c r="J745" s="24">
        <v>9600</v>
      </c>
      <c r="K745" s="21" t="s">
        <v>157</v>
      </c>
      <c r="L745" s="25">
        <v>0.125</v>
      </c>
      <c r="M745" s="25">
        <v>0.05</v>
      </c>
      <c r="N745" s="22"/>
      <c r="O745" s="23" t="s">
        <v>157</v>
      </c>
      <c r="P745" s="20">
        <f t="shared" si="170"/>
        <v>0</v>
      </c>
      <c r="Q745" s="23" t="s">
        <v>157</v>
      </c>
      <c r="R745" s="24">
        <f t="shared" si="171"/>
        <v>0</v>
      </c>
      <c r="S745" s="24">
        <f t="shared" si="158"/>
        <v>0</v>
      </c>
    </row>
    <row r="746" spans="1:19">
      <c r="A746" s="17" t="s">
        <v>479</v>
      </c>
      <c r="B746" s="2" t="s">
        <v>18</v>
      </c>
      <c r="D746" s="4" t="s">
        <v>157</v>
      </c>
      <c r="F746" s="6">
        <v>12</v>
      </c>
      <c r="G746" s="7" t="s">
        <v>33</v>
      </c>
      <c r="H746" s="6">
        <v>6</v>
      </c>
      <c r="I746" s="7" t="s">
        <v>157</v>
      </c>
      <c r="J746" s="8">
        <v>19200</v>
      </c>
      <c r="K746" s="4" t="s">
        <v>157</v>
      </c>
      <c r="L746" s="9">
        <v>0.125</v>
      </c>
      <c r="M746" s="9">
        <v>0.05</v>
      </c>
      <c r="O746" s="7" t="s">
        <v>157</v>
      </c>
      <c r="P746" s="3">
        <f t="shared" si="170"/>
        <v>0</v>
      </c>
      <c r="Q746" s="7" t="s">
        <v>157</v>
      </c>
      <c r="R746" s="8">
        <f t="shared" si="171"/>
        <v>0</v>
      </c>
      <c r="S746" s="8">
        <f t="shared" si="158"/>
        <v>0</v>
      </c>
    </row>
    <row r="747" spans="1:19">
      <c r="A747" s="17" t="s">
        <v>480</v>
      </c>
      <c r="B747" s="2" t="s">
        <v>18</v>
      </c>
      <c r="D747" s="4" t="s">
        <v>157</v>
      </c>
      <c r="F747" s="6">
        <v>12</v>
      </c>
      <c r="G747" s="7" t="s">
        <v>33</v>
      </c>
      <c r="H747" s="6">
        <v>24</v>
      </c>
      <c r="I747" s="7" t="s">
        <v>157</v>
      </c>
      <c r="J747" s="8">
        <v>5800</v>
      </c>
      <c r="K747" s="4" t="s">
        <v>157</v>
      </c>
      <c r="L747" s="9">
        <v>0.125</v>
      </c>
      <c r="M747" s="9">
        <v>0.05</v>
      </c>
      <c r="O747" s="7" t="s">
        <v>157</v>
      </c>
      <c r="P747" s="3">
        <f t="shared" si="170"/>
        <v>0</v>
      </c>
      <c r="Q747" s="7" t="s">
        <v>157</v>
      </c>
      <c r="R747" s="8">
        <f t="shared" si="171"/>
        <v>0</v>
      </c>
      <c r="S747" s="8">
        <f t="shared" si="158"/>
        <v>0</v>
      </c>
    </row>
    <row r="748" spans="1:19" s="19" customFormat="1">
      <c r="A748" s="91" t="s">
        <v>481</v>
      </c>
      <c r="B748" s="19" t="s">
        <v>18</v>
      </c>
      <c r="C748" s="20"/>
      <c r="D748" s="21" t="s">
        <v>157</v>
      </c>
      <c r="E748" s="26">
        <v>2</v>
      </c>
      <c r="F748" s="22">
        <v>12</v>
      </c>
      <c r="G748" s="23" t="s">
        <v>33</v>
      </c>
      <c r="H748" s="22">
        <v>12</v>
      </c>
      <c r="I748" s="23" t="s">
        <v>157</v>
      </c>
      <c r="J748" s="94">
        <v>12600</v>
      </c>
      <c r="K748" s="21" t="s">
        <v>157</v>
      </c>
      <c r="L748" s="25">
        <v>0.125</v>
      </c>
      <c r="M748" s="25">
        <v>0.05</v>
      </c>
      <c r="N748" s="22"/>
      <c r="O748" s="23" t="s">
        <v>157</v>
      </c>
      <c r="P748" s="20">
        <f t="shared" ref="P748" si="172">(C748+(E748*F748*H748))-N748</f>
        <v>288</v>
      </c>
      <c r="Q748" s="23" t="s">
        <v>157</v>
      </c>
      <c r="R748" s="24">
        <f t="shared" ref="R748" si="173">P748*(J748-(J748*L748)-((J748-(J748*L748))*M748))</f>
        <v>3016440</v>
      </c>
      <c r="S748" s="8">
        <f t="shared" ref="S748" si="174">R748/1.11</f>
        <v>2717513.5135135134</v>
      </c>
    </row>
    <row r="749" spans="1:19" s="19" customFormat="1">
      <c r="A749" s="18" t="s">
        <v>481</v>
      </c>
      <c r="B749" s="19" t="s">
        <v>18</v>
      </c>
      <c r="C749" s="20"/>
      <c r="D749" s="21" t="s">
        <v>157</v>
      </c>
      <c r="E749" s="26"/>
      <c r="F749" s="22">
        <v>12</v>
      </c>
      <c r="G749" s="23" t="s">
        <v>33</v>
      </c>
      <c r="H749" s="22">
        <v>12</v>
      </c>
      <c r="I749" s="23" t="s">
        <v>157</v>
      </c>
      <c r="J749" s="24">
        <v>8400</v>
      </c>
      <c r="K749" s="21" t="s">
        <v>157</v>
      </c>
      <c r="L749" s="25">
        <v>0.125</v>
      </c>
      <c r="M749" s="25">
        <v>0.05</v>
      </c>
      <c r="N749" s="22"/>
      <c r="O749" s="23" t="s">
        <v>157</v>
      </c>
      <c r="P749" s="20">
        <f t="shared" si="170"/>
        <v>0</v>
      </c>
      <c r="Q749" s="23" t="s">
        <v>157</v>
      </c>
      <c r="R749" s="24">
        <f t="shared" si="171"/>
        <v>0</v>
      </c>
      <c r="S749" s="8">
        <f t="shared" si="158"/>
        <v>0</v>
      </c>
    </row>
    <row r="750" spans="1:19" s="19" customFormat="1">
      <c r="A750" s="18" t="s">
        <v>835</v>
      </c>
      <c r="B750" s="19" t="s">
        <v>18</v>
      </c>
      <c r="C750" s="20"/>
      <c r="D750" s="21" t="s">
        <v>157</v>
      </c>
      <c r="E750" s="26"/>
      <c r="F750" s="22">
        <v>12</v>
      </c>
      <c r="G750" s="23" t="s">
        <v>33</v>
      </c>
      <c r="H750" s="22">
        <v>6</v>
      </c>
      <c r="I750" s="23" t="s">
        <v>157</v>
      </c>
      <c r="J750" s="24">
        <v>16800</v>
      </c>
      <c r="K750" s="21" t="s">
        <v>157</v>
      </c>
      <c r="L750" s="25">
        <v>0.125</v>
      </c>
      <c r="M750" s="25">
        <v>0.05</v>
      </c>
      <c r="N750" s="22"/>
      <c r="O750" s="23" t="s">
        <v>157</v>
      </c>
      <c r="P750" s="20">
        <f t="shared" si="170"/>
        <v>0</v>
      </c>
      <c r="Q750" s="23" t="s">
        <v>157</v>
      </c>
      <c r="R750" s="24">
        <f t="shared" si="171"/>
        <v>0</v>
      </c>
      <c r="S750" s="8">
        <f t="shared" si="158"/>
        <v>0</v>
      </c>
    </row>
    <row r="751" spans="1:19" s="19" customFormat="1">
      <c r="A751" s="18" t="s">
        <v>482</v>
      </c>
      <c r="B751" s="19" t="s">
        <v>18</v>
      </c>
      <c r="C751" s="20"/>
      <c r="D751" s="21" t="s">
        <v>157</v>
      </c>
      <c r="E751" s="26"/>
      <c r="F751" s="22">
        <v>12</v>
      </c>
      <c r="G751" s="23" t="s">
        <v>33</v>
      </c>
      <c r="H751" s="22">
        <v>12</v>
      </c>
      <c r="I751" s="23" t="s">
        <v>157</v>
      </c>
      <c r="J751" s="24">
        <v>11000</v>
      </c>
      <c r="K751" s="21" t="s">
        <v>157</v>
      </c>
      <c r="L751" s="25">
        <v>0.125</v>
      </c>
      <c r="M751" s="25">
        <v>0.05</v>
      </c>
      <c r="N751" s="22"/>
      <c r="O751" s="23" t="s">
        <v>157</v>
      </c>
      <c r="P751" s="20">
        <f t="shared" si="170"/>
        <v>0</v>
      </c>
      <c r="Q751" s="23" t="s">
        <v>157</v>
      </c>
      <c r="R751" s="24">
        <f t="shared" si="171"/>
        <v>0</v>
      </c>
      <c r="S751" s="8">
        <f t="shared" si="158"/>
        <v>0</v>
      </c>
    </row>
    <row r="752" spans="1:19" s="19" customFormat="1">
      <c r="A752" s="18" t="s">
        <v>483</v>
      </c>
      <c r="B752" s="19" t="s">
        <v>18</v>
      </c>
      <c r="C752" s="20"/>
      <c r="D752" s="21" t="s">
        <v>157</v>
      </c>
      <c r="E752" s="26">
        <v>1</v>
      </c>
      <c r="F752" s="22">
        <v>12</v>
      </c>
      <c r="G752" s="23" t="s">
        <v>33</v>
      </c>
      <c r="H752" s="22">
        <v>24</v>
      </c>
      <c r="I752" s="23" t="s">
        <v>157</v>
      </c>
      <c r="J752" s="24">
        <v>5400</v>
      </c>
      <c r="K752" s="21" t="s">
        <v>157</v>
      </c>
      <c r="L752" s="25">
        <v>0.125</v>
      </c>
      <c r="M752" s="25">
        <v>0.05</v>
      </c>
      <c r="N752" s="22"/>
      <c r="O752" s="23" t="s">
        <v>157</v>
      </c>
      <c r="P752" s="20">
        <f t="shared" si="170"/>
        <v>288</v>
      </c>
      <c r="Q752" s="23" t="s">
        <v>157</v>
      </c>
      <c r="R752" s="24">
        <f t="shared" si="171"/>
        <v>1292760</v>
      </c>
      <c r="S752" s="8">
        <f t="shared" si="158"/>
        <v>1164648.6486486485</v>
      </c>
    </row>
    <row r="753" spans="1:19" s="19" customFormat="1">
      <c r="A753" s="18" t="s">
        <v>484</v>
      </c>
      <c r="B753" s="19" t="s">
        <v>18</v>
      </c>
      <c r="C753" s="20"/>
      <c r="D753" s="21" t="s">
        <v>157</v>
      </c>
      <c r="E753" s="26"/>
      <c r="F753" s="22">
        <v>12</v>
      </c>
      <c r="G753" s="23" t="s">
        <v>33</v>
      </c>
      <c r="H753" s="22">
        <v>12</v>
      </c>
      <c r="I753" s="23" t="s">
        <v>157</v>
      </c>
      <c r="J753" s="24">
        <v>16900</v>
      </c>
      <c r="K753" s="21" t="s">
        <v>157</v>
      </c>
      <c r="L753" s="25">
        <v>0.125</v>
      </c>
      <c r="M753" s="25">
        <v>0.05</v>
      </c>
      <c r="N753" s="22"/>
      <c r="O753" s="23" t="s">
        <v>157</v>
      </c>
      <c r="P753" s="20">
        <f t="shared" si="170"/>
        <v>0</v>
      </c>
      <c r="Q753" s="23" t="s">
        <v>157</v>
      </c>
      <c r="R753" s="24">
        <f t="shared" si="171"/>
        <v>0</v>
      </c>
      <c r="S753" s="8">
        <f t="shared" si="158"/>
        <v>0</v>
      </c>
    </row>
    <row r="754" spans="1:19" s="19" customFormat="1">
      <c r="A754" s="18" t="s">
        <v>485</v>
      </c>
      <c r="B754" s="19" t="s">
        <v>18</v>
      </c>
      <c r="C754" s="20"/>
      <c r="D754" s="21" t="s">
        <v>157</v>
      </c>
      <c r="E754" s="26"/>
      <c r="F754" s="22">
        <v>12</v>
      </c>
      <c r="G754" s="23" t="s">
        <v>33</v>
      </c>
      <c r="H754" s="22">
        <v>6</v>
      </c>
      <c r="I754" s="23" t="s">
        <v>157</v>
      </c>
      <c r="J754" s="24">
        <v>33800</v>
      </c>
      <c r="K754" s="21" t="s">
        <v>157</v>
      </c>
      <c r="L754" s="25">
        <v>0.125</v>
      </c>
      <c r="M754" s="25">
        <v>0.05</v>
      </c>
      <c r="N754" s="22"/>
      <c r="O754" s="23" t="s">
        <v>157</v>
      </c>
      <c r="P754" s="20">
        <f t="shared" si="170"/>
        <v>0</v>
      </c>
      <c r="Q754" s="23" t="s">
        <v>157</v>
      </c>
      <c r="R754" s="24">
        <f t="shared" si="171"/>
        <v>0</v>
      </c>
      <c r="S754" s="8">
        <f t="shared" si="158"/>
        <v>0</v>
      </c>
    </row>
    <row r="755" spans="1:19" s="19" customFormat="1">
      <c r="A755" s="18"/>
      <c r="C755" s="20"/>
      <c r="D755" s="21"/>
      <c r="E755" s="26"/>
      <c r="F755" s="22"/>
      <c r="G755" s="23"/>
      <c r="H755" s="22"/>
      <c r="I755" s="23"/>
      <c r="J755" s="24"/>
      <c r="K755" s="21"/>
      <c r="L755" s="25"/>
      <c r="M755" s="25"/>
      <c r="N755" s="22"/>
      <c r="O755" s="23"/>
      <c r="P755" s="20"/>
      <c r="Q755" s="23"/>
      <c r="R755" s="24"/>
      <c r="S755" s="8"/>
    </row>
    <row r="756" spans="1:19" s="19" customFormat="1">
      <c r="A756" s="18" t="s">
        <v>486</v>
      </c>
      <c r="B756" s="19" t="s">
        <v>25</v>
      </c>
      <c r="C756" s="20"/>
      <c r="D756" s="21" t="s">
        <v>41</v>
      </c>
      <c r="E756" s="26">
        <v>1</v>
      </c>
      <c r="F756" s="22">
        <v>24</v>
      </c>
      <c r="G756" s="23" t="s">
        <v>33</v>
      </c>
      <c r="H756" s="22">
        <v>2</v>
      </c>
      <c r="I756" s="23" t="s">
        <v>41</v>
      </c>
      <c r="J756" s="24">
        <f>3801600/24/2</f>
        <v>79200</v>
      </c>
      <c r="K756" s="21" t="s">
        <v>41</v>
      </c>
      <c r="L756" s="25"/>
      <c r="M756" s="25">
        <v>0.17</v>
      </c>
      <c r="N756" s="22"/>
      <c r="O756" s="23" t="s">
        <v>41</v>
      </c>
      <c r="P756" s="20">
        <f t="shared" ref="P756" si="175">(C756+(E756*F756*H756))-N756</f>
        <v>48</v>
      </c>
      <c r="Q756" s="23" t="s">
        <v>41</v>
      </c>
      <c r="R756" s="24">
        <f t="shared" ref="R756" si="176">P756*(J756-(J756*L756)-((J756-(J756*L756))*M756))</f>
        <v>3155328</v>
      </c>
      <c r="S756" s="24">
        <f t="shared" ref="S756" si="177">R756/1.11</f>
        <v>2842637.8378378376</v>
      </c>
    </row>
    <row r="757" spans="1:19" s="19" customFormat="1">
      <c r="A757" s="18" t="s">
        <v>487</v>
      </c>
      <c r="B757" s="19" t="s">
        <v>25</v>
      </c>
      <c r="C757" s="20"/>
      <c r="D757" s="21" t="s">
        <v>41</v>
      </c>
      <c r="E757" s="26">
        <v>7</v>
      </c>
      <c r="F757" s="22">
        <v>1</v>
      </c>
      <c r="G757" s="23" t="s">
        <v>20</v>
      </c>
      <c r="H757" s="22">
        <v>24</v>
      </c>
      <c r="I757" s="23" t="s">
        <v>41</v>
      </c>
      <c r="J757" s="24">
        <f>2980800/24</f>
        <v>124200</v>
      </c>
      <c r="K757" s="21" t="s">
        <v>41</v>
      </c>
      <c r="L757" s="25"/>
      <c r="M757" s="25">
        <v>0.17</v>
      </c>
      <c r="N757" s="22"/>
      <c r="O757" s="23" t="s">
        <v>41</v>
      </c>
      <c r="P757" s="20">
        <f t="shared" ref="P757:P767" si="178">(C757+(E757*F757*H757))-N757</f>
        <v>168</v>
      </c>
      <c r="Q757" s="23" t="s">
        <v>41</v>
      </c>
      <c r="R757" s="24">
        <f t="shared" ref="R757:R767" si="179">P757*(J757-(J757*L757)-((J757-(J757*L757))*M757))</f>
        <v>17318448</v>
      </c>
      <c r="S757" s="24">
        <f t="shared" si="158"/>
        <v>15602205.405405404</v>
      </c>
    </row>
    <row r="758" spans="1:19">
      <c r="A758" s="17" t="s">
        <v>488</v>
      </c>
      <c r="B758" s="2" t="s">
        <v>25</v>
      </c>
      <c r="D758" s="4" t="s">
        <v>41</v>
      </c>
      <c r="E758" s="5">
        <v>2</v>
      </c>
      <c r="F758" s="6">
        <v>1</v>
      </c>
      <c r="G758" s="7" t="s">
        <v>20</v>
      </c>
      <c r="H758" s="6">
        <v>12</v>
      </c>
      <c r="I758" s="7" t="s">
        <v>41</v>
      </c>
      <c r="J758" s="8">
        <f>2980800/12</f>
        <v>248400</v>
      </c>
      <c r="K758" s="4" t="s">
        <v>41</v>
      </c>
      <c r="M758" s="9">
        <v>0.17</v>
      </c>
      <c r="O758" s="7" t="s">
        <v>41</v>
      </c>
      <c r="P758" s="3">
        <f t="shared" si="178"/>
        <v>24</v>
      </c>
      <c r="Q758" s="7" t="s">
        <v>41</v>
      </c>
      <c r="R758" s="8">
        <f t="shared" si="179"/>
        <v>4948128</v>
      </c>
      <c r="S758" s="8">
        <f t="shared" si="158"/>
        <v>4457772.9729729723</v>
      </c>
    </row>
    <row r="759" spans="1:19">
      <c r="A759" s="17" t="s">
        <v>684</v>
      </c>
      <c r="B759" s="2" t="s">
        <v>25</v>
      </c>
      <c r="D759" s="4" t="s">
        <v>157</v>
      </c>
      <c r="F759" s="6">
        <v>20</v>
      </c>
      <c r="G759" s="7" t="s">
        <v>33</v>
      </c>
      <c r="H759" s="6">
        <v>4</v>
      </c>
      <c r="I759" s="7" t="s">
        <v>157</v>
      </c>
      <c r="J759" s="8">
        <f>2640000/20/4</f>
        <v>33000</v>
      </c>
      <c r="K759" s="4" t="s">
        <v>157</v>
      </c>
      <c r="M759" s="9">
        <v>0.17</v>
      </c>
      <c r="O759" s="7" t="s">
        <v>157</v>
      </c>
      <c r="P759" s="3">
        <f t="shared" si="178"/>
        <v>0</v>
      </c>
      <c r="Q759" s="7" t="s">
        <v>157</v>
      </c>
      <c r="R759" s="8">
        <f t="shared" si="179"/>
        <v>0</v>
      </c>
      <c r="S759" s="8">
        <f>R759/1.11</f>
        <v>0</v>
      </c>
    </row>
    <row r="760" spans="1:19">
      <c r="A760" s="17" t="s">
        <v>489</v>
      </c>
      <c r="B760" s="2" t="s">
        <v>25</v>
      </c>
      <c r="D760" s="4" t="s">
        <v>41</v>
      </c>
      <c r="F760" s="6">
        <v>1</v>
      </c>
      <c r="G760" s="7" t="s">
        <v>20</v>
      </c>
      <c r="H760" s="6">
        <v>24</v>
      </c>
      <c r="I760" s="7" t="s">
        <v>41</v>
      </c>
      <c r="J760" s="8">
        <f>2448000/24</f>
        <v>102000</v>
      </c>
      <c r="K760" s="4" t="s">
        <v>41</v>
      </c>
      <c r="M760" s="9">
        <v>0.17</v>
      </c>
      <c r="O760" s="7" t="s">
        <v>41</v>
      </c>
      <c r="P760" s="3">
        <f t="shared" si="178"/>
        <v>0</v>
      </c>
      <c r="Q760" s="7" t="s">
        <v>41</v>
      </c>
      <c r="R760" s="8">
        <f t="shared" si="179"/>
        <v>0</v>
      </c>
      <c r="S760" s="8">
        <f t="shared" si="158"/>
        <v>0</v>
      </c>
    </row>
    <row r="761" spans="1:19">
      <c r="A761" s="17" t="s">
        <v>490</v>
      </c>
      <c r="B761" s="2" t="s">
        <v>25</v>
      </c>
      <c r="D761" s="4" t="s">
        <v>41</v>
      </c>
      <c r="F761" s="6">
        <v>1</v>
      </c>
      <c r="G761" s="7" t="s">
        <v>20</v>
      </c>
      <c r="H761" s="6">
        <v>16</v>
      </c>
      <c r="I761" s="7" t="s">
        <v>41</v>
      </c>
      <c r="J761" s="8">
        <f>1824000/16</f>
        <v>114000</v>
      </c>
      <c r="K761" s="4" t="s">
        <v>41</v>
      </c>
      <c r="M761" s="9">
        <v>0.17</v>
      </c>
      <c r="O761" s="7" t="s">
        <v>41</v>
      </c>
      <c r="P761" s="3">
        <f t="shared" si="178"/>
        <v>0</v>
      </c>
      <c r="Q761" s="7" t="s">
        <v>41</v>
      </c>
      <c r="R761" s="8">
        <f t="shared" si="179"/>
        <v>0</v>
      </c>
      <c r="S761" s="8">
        <f t="shared" si="158"/>
        <v>0</v>
      </c>
    </row>
    <row r="762" spans="1:19">
      <c r="A762" s="17" t="s">
        <v>687</v>
      </c>
      <c r="B762" s="2" t="s">
        <v>25</v>
      </c>
      <c r="D762" s="4" t="s">
        <v>157</v>
      </c>
      <c r="F762" s="6">
        <v>24</v>
      </c>
      <c r="G762" s="7" t="s">
        <v>33</v>
      </c>
      <c r="H762" s="6">
        <v>6</v>
      </c>
      <c r="I762" s="7" t="s">
        <v>157</v>
      </c>
      <c r="J762" s="8">
        <f>2448000/24/6</f>
        <v>17000</v>
      </c>
      <c r="K762" s="4" t="s">
        <v>157</v>
      </c>
      <c r="M762" s="9">
        <v>0.17</v>
      </c>
      <c r="O762" s="7" t="s">
        <v>157</v>
      </c>
      <c r="P762" s="3">
        <f t="shared" si="178"/>
        <v>0</v>
      </c>
      <c r="Q762" s="7" t="s">
        <v>157</v>
      </c>
      <c r="R762" s="8">
        <f t="shared" si="179"/>
        <v>0</v>
      </c>
      <c r="S762" s="8">
        <f t="shared" si="158"/>
        <v>0</v>
      </c>
    </row>
    <row r="763" spans="1:19">
      <c r="A763" s="17" t="s">
        <v>491</v>
      </c>
      <c r="B763" s="2" t="s">
        <v>25</v>
      </c>
      <c r="D763" s="4" t="s">
        <v>157</v>
      </c>
      <c r="E763" s="5">
        <v>1</v>
      </c>
      <c r="F763" s="6">
        <v>10</v>
      </c>
      <c r="G763" s="7" t="s">
        <v>41</v>
      </c>
      <c r="H763" s="6">
        <v>12</v>
      </c>
      <c r="I763" s="7" t="s">
        <v>157</v>
      </c>
      <c r="J763" s="8">
        <f>2040000/10/12</f>
        <v>17000</v>
      </c>
      <c r="K763" s="4" t="s">
        <v>157</v>
      </c>
      <c r="M763" s="9">
        <v>0.17</v>
      </c>
      <c r="O763" s="7" t="s">
        <v>157</v>
      </c>
      <c r="P763" s="3">
        <f t="shared" si="178"/>
        <v>120</v>
      </c>
      <c r="Q763" s="7" t="s">
        <v>157</v>
      </c>
      <c r="R763" s="8">
        <f t="shared" si="179"/>
        <v>1693200</v>
      </c>
      <c r="S763" s="8">
        <f t="shared" si="158"/>
        <v>1525405.4054054052</v>
      </c>
    </row>
    <row r="764" spans="1:19">
      <c r="A764" s="17" t="s">
        <v>492</v>
      </c>
      <c r="B764" s="2" t="s">
        <v>25</v>
      </c>
      <c r="D764" s="4" t="s">
        <v>157</v>
      </c>
      <c r="F764" s="6">
        <v>10</v>
      </c>
      <c r="G764" s="7" t="s">
        <v>33</v>
      </c>
      <c r="H764" s="6">
        <v>6</v>
      </c>
      <c r="I764" s="7" t="s">
        <v>157</v>
      </c>
      <c r="J764" s="8">
        <f>2040000/10/6</f>
        <v>34000</v>
      </c>
      <c r="K764" s="4" t="s">
        <v>157</v>
      </c>
      <c r="M764" s="9">
        <v>0.17</v>
      </c>
      <c r="O764" s="7" t="s">
        <v>157</v>
      </c>
      <c r="P764" s="3">
        <f t="shared" si="178"/>
        <v>0</v>
      </c>
      <c r="Q764" s="7" t="s">
        <v>157</v>
      </c>
      <c r="R764" s="8">
        <f t="shared" si="179"/>
        <v>0</v>
      </c>
      <c r="S764" s="8">
        <f t="shared" si="158"/>
        <v>0</v>
      </c>
    </row>
    <row r="765" spans="1:19" s="19" customFormat="1">
      <c r="A765" s="18" t="s">
        <v>493</v>
      </c>
      <c r="B765" s="19" t="s">
        <v>25</v>
      </c>
      <c r="C765" s="20"/>
      <c r="D765" s="21" t="s">
        <v>157</v>
      </c>
      <c r="E765" s="26"/>
      <c r="F765" s="22">
        <v>24</v>
      </c>
      <c r="G765" s="23" t="s">
        <v>41</v>
      </c>
      <c r="H765" s="22">
        <v>12</v>
      </c>
      <c r="I765" s="23" t="s">
        <v>157</v>
      </c>
      <c r="J765" s="24">
        <f>3571200/24/12</f>
        <v>12400</v>
      </c>
      <c r="K765" s="21" t="s">
        <v>157</v>
      </c>
      <c r="L765" s="25"/>
      <c r="M765" s="25">
        <v>0.17</v>
      </c>
      <c r="N765" s="22"/>
      <c r="O765" s="23" t="s">
        <v>157</v>
      </c>
      <c r="P765" s="20">
        <f t="shared" si="178"/>
        <v>0</v>
      </c>
      <c r="Q765" s="23" t="s">
        <v>157</v>
      </c>
      <c r="R765" s="24">
        <f t="shared" si="179"/>
        <v>0</v>
      </c>
      <c r="S765" s="8">
        <f t="shared" si="158"/>
        <v>0</v>
      </c>
    </row>
    <row r="766" spans="1:19" s="19" customFormat="1">
      <c r="A766" s="18" t="s">
        <v>494</v>
      </c>
      <c r="B766" s="19" t="s">
        <v>25</v>
      </c>
      <c r="C766" s="20"/>
      <c r="D766" s="21" t="s">
        <v>157</v>
      </c>
      <c r="E766" s="26"/>
      <c r="F766" s="22">
        <v>16</v>
      </c>
      <c r="G766" s="23" t="s">
        <v>41</v>
      </c>
      <c r="H766" s="22">
        <v>12</v>
      </c>
      <c r="I766" s="23" t="s">
        <v>157</v>
      </c>
      <c r="J766" s="24">
        <f>3648000/16/12</f>
        <v>19000</v>
      </c>
      <c r="K766" s="21" t="s">
        <v>157</v>
      </c>
      <c r="L766" s="25"/>
      <c r="M766" s="25">
        <v>0.17</v>
      </c>
      <c r="N766" s="22"/>
      <c r="O766" s="23" t="s">
        <v>157</v>
      </c>
      <c r="P766" s="20">
        <f t="shared" si="178"/>
        <v>0</v>
      </c>
      <c r="Q766" s="23" t="s">
        <v>157</v>
      </c>
      <c r="R766" s="24">
        <f t="shared" si="179"/>
        <v>0</v>
      </c>
      <c r="S766" s="8">
        <f t="shared" si="158"/>
        <v>0</v>
      </c>
    </row>
    <row r="767" spans="1:19">
      <c r="A767" s="17" t="s">
        <v>495</v>
      </c>
      <c r="B767" s="2" t="s">
        <v>25</v>
      </c>
      <c r="D767" s="4" t="s">
        <v>157</v>
      </c>
      <c r="F767" s="6">
        <v>24</v>
      </c>
      <c r="G767" s="7" t="s">
        <v>33</v>
      </c>
      <c r="H767" s="6">
        <v>6</v>
      </c>
      <c r="I767" s="7" t="s">
        <v>157</v>
      </c>
      <c r="J767" s="8">
        <v>22000</v>
      </c>
      <c r="K767" s="4" t="s">
        <v>157</v>
      </c>
      <c r="M767" s="9">
        <v>0.17</v>
      </c>
      <c r="O767" s="7" t="s">
        <v>157</v>
      </c>
      <c r="P767" s="3">
        <f t="shared" si="178"/>
        <v>0</v>
      </c>
      <c r="Q767" s="7" t="s">
        <v>157</v>
      </c>
      <c r="R767" s="8">
        <f t="shared" si="179"/>
        <v>0</v>
      </c>
      <c r="S767" s="8">
        <f t="shared" si="158"/>
        <v>0</v>
      </c>
    </row>
    <row r="769" spans="1:19" ht="15.75">
      <c r="A769" s="14" t="s">
        <v>496</v>
      </c>
    </row>
    <row r="770" spans="1:19">
      <c r="A770" s="17" t="s">
        <v>497</v>
      </c>
      <c r="B770" s="2" t="s">
        <v>18</v>
      </c>
      <c r="D770" s="4" t="s">
        <v>19</v>
      </c>
      <c r="F770" s="6">
        <v>12</v>
      </c>
      <c r="G770" s="7" t="s">
        <v>33</v>
      </c>
      <c r="H770" s="6">
        <v>24</v>
      </c>
      <c r="I770" s="7" t="s">
        <v>19</v>
      </c>
      <c r="J770" s="8">
        <v>3550</v>
      </c>
      <c r="K770" s="4" t="s">
        <v>19</v>
      </c>
      <c r="L770" s="9">
        <v>0.125</v>
      </c>
      <c r="M770" s="9">
        <v>0.05</v>
      </c>
      <c r="O770" s="7" t="s">
        <v>19</v>
      </c>
      <c r="P770" s="3">
        <f>(C770+(E770*F770*H770))-N770</f>
        <v>0</v>
      </c>
      <c r="Q770" s="7" t="s">
        <v>19</v>
      </c>
      <c r="R770" s="8">
        <f>P770*(J770-(J770*L770)-((J770-(J770*L770))*M770))</f>
        <v>0</v>
      </c>
      <c r="S770" s="8">
        <f t="shared" si="158"/>
        <v>0</v>
      </c>
    </row>
    <row r="771" spans="1:19">
      <c r="A771" s="17" t="s">
        <v>498</v>
      </c>
      <c r="B771" s="2" t="s">
        <v>18</v>
      </c>
      <c r="D771" s="4" t="s">
        <v>19</v>
      </c>
      <c r="F771" s="6">
        <v>1</v>
      </c>
      <c r="G771" s="7" t="s">
        <v>20</v>
      </c>
      <c r="H771" s="6">
        <v>288</v>
      </c>
      <c r="I771" s="7" t="s">
        <v>19</v>
      </c>
      <c r="J771" s="8">
        <v>3550</v>
      </c>
      <c r="K771" s="4" t="s">
        <v>19</v>
      </c>
      <c r="L771" s="9">
        <v>0.125</v>
      </c>
      <c r="M771" s="9">
        <v>0.05</v>
      </c>
      <c r="O771" s="7" t="s">
        <v>19</v>
      </c>
      <c r="P771" s="3">
        <f>(C771+(E771*F771*H771))-N771</f>
        <v>0</v>
      </c>
      <c r="Q771" s="7" t="s">
        <v>19</v>
      </c>
      <c r="R771" s="8">
        <f>P771*(J771-(J771*L771)-((J771-(J771*L771))*M771))</f>
        <v>0</v>
      </c>
      <c r="S771" s="8">
        <f t="shared" si="158"/>
        <v>0</v>
      </c>
    </row>
    <row r="772" spans="1:19" s="19" customFormat="1">
      <c r="A772" s="18" t="s">
        <v>499</v>
      </c>
      <c r="B772" s="19" t="s">
        <v>18</v>
      </c>
      <c r="C772" s="20"/>
      <c r="D772" s="21" t="s">
        <v>19</v>
      </c>
      <c r="E772" s="26">
        <v>3</v>
      </c>
      <c r="F772" s="22">
        <v>1</v>
      </c>
      <c r="G772" s="23" t="s">
        <v>20</v>
      </c>
      <c r="H772" s="22">
        <v>288</v>
      </c>
      <c r="I772" s="23" t="s">
        <v>19</v>
      </c>
      <c r="J772" s="24">
        <v>4800</v>
      </c>
      <c r="K772" s="21" t="s">
        <v>19</v>
      </c>
      <c r="L772" s="25">
        <v>0.125</v>
      </c>
      <c r="M772" s="25">
        <v>0.05</v>
      </c>
      <c r="N772" s="22"/>
      <c r="O772" s="23" t="s">
        <v>19</v>
      </c>
      <c r="P772" s="20">
        <f>(C772+(E772*F772*H772))-N772</f>
        <v>864</v>
      </c>
      <c r="Q772" s="23" t="s">
        <v>19</v>
      </c>
      <c r="R772" s="24">
        <f>P772*(J772-(J772*L772)-((J772-(J772*L772))*M772))</f>
        <v>3447360</v>
      </c>
      <c r="S772" s="24">
        <f t="shared" si="158"/>
        <v>3105729.7297297292</v>
      </c>
    </row>
    <row r="773" spans="1:19" s="19" customFormat="1">
      <c r="A773" s="91" t="s">
        <v>862</v>
      </c>
      <c r="B773" s="19" t="s">
        <v>18</v>
      </c>
      <c r="C773" s="20"/>
      <c r="D773" s="21" t="s">
        <v>19</v>
      </c>
      <c r="E773" s="26">
        <v>1</v>
      </c>
      <c r="F773" s="22">
        <v>1</v>
      </c>
      <c r="G773" s="23" t="s">
        <v>20</v>
      </c>
      <c r="H773" s="22">
        <v>288</v>
      </c>
      <c r="I773" s="23" t="s">
        <v>19</v>
      </c>
      <c r="J773" s="24">
        <v>4000</v>
      </c>
      <c r="K773" s="21" t="s">
        <v>19</v>
      </c>
      <c r="L773" s="25">
        <v>0.125</v>
      </c>
      <c r="M773" s="25">
        <v>0.05</v>
      </c>
      <c r="N773" s="22"/>
      <c r="O773" s="23" t="s">
        <v>19</v>
      </c>
      <c r="P773" s="20">
        <f>(C773+(E773*F773*H773))-N773</f>
        <v>288</v>
      </c>
      <c r="Q773" s="23" t="s">
        <v>19</v>
      </c>
      <c r="R773" s="24">
        <f>P773*(J773-(J773*L773)-((J773-(J773*L773))*M773))</f>
        <v>957600</v>
      </c>
      <c r="S773" s="24">
        <f t="shared" ref="S773" si="180">R773/1.11</f>
        <v>862702.70270270261</v>
      </c>
    </row>
    <row r="774" spans="1:19" s="19" customFormat="1">
      <c r="A774" s="18"/>
      <c r="C774" s="20"/>
      <c r="D774" s="21"/>
      <c r="E774" s="26"/>
      <c r="F774" s="22"/>
      <c r="G774" s="23"/>
      <c r="H774" s="22"/>
      <c r="I774" s="23"/>
      <c r="J774" s="24"/>
      <c r="K774" s="21"/>
      <c r="L774" s="25"/>
      <c r="M774" s="25"/>
      <c r="N774" s="22"/>
      <c r="O774" s="23"/>
      <c r="P774" s="20"/>
      <c r="Q774" s="23"/>
      <c r="R774" s="24"/>
      <c r="S774" s="24"/>
    </row>
    <row r="775" spans="1:19" s="19" customFormat="1">
      <c r="A775" s="18" t="s">
        <v>500</v>
      </c>
      <c r="B775" s="19" t="s">
        <v>25</v>
      </c>
      <c r="C775" s="20"/>
      <c r="D775" s="21" t="s">
        <v>41</v>
      </c>
      <c r="E775" s="26">
        <v>1</v>
      </c>
      <c r="F775" s="22">
        <v>1</v>
      </c>
      <c r="G775" s="23" t="s">
        <v>20</v>
      </c>
      <c r="H775" s="22">
        <v>24</v>
      </c>
      <c r="I775" s="23" t="s">
        <v>41</v>
      </c>
      <c r="J775" s="24">
        <f>1497600/24</f>
        <v>62400</v>
      </c>
      <c r="K775" s="21" t="s">
        <v>41</v>
      </c>
      <c r="L775" s="25"/>
      <c r="M775" s="25">
        <v>0.17</v>
      </c>
      <c r="N775" s="22"/>
      <c r="O775" s="23" t="s">
        <v>41</v>
      </c>
      <c r="P775" s="20">
        <f>(C775+(E775*F775*H775))-N775</f>
        <v>24</v>
      </c>
      <c r="Q775" s="23" t="s">
        <v>41</v>
      </c>
      <c r="R775" s="24">
        <f>P775*(J775-(J775*L775)-((J775-(J775*L775))*M775))</f>
        <v>1243008</v>
      </c>
      <c r="S775" s="24">
        <f t="shared" si="158"/>
        <v>1119827.027027027</v>
      </c>
    </row>
    <row r="776" spans="1:19" s="19" customFormat="1">
      <c r="A776" s="18"/>
      <c r="C776" s="20"/>
      <c r="D776" s="21"/>
      <c r="E776" s="26"/>
      <c r="F776" s="22"/>
      <c r="G776" s="23"/>
      <c r="H776" s="22"/>
      <c r="I776" s="23"/>
      <c r="J776" s="24"/>
      <c r="K776" s="21"/>
      <c r="L776" s="25"/>
      <c r="M776" s="25"/>
      <c r="N776" s="22"/>
      <c r="O776" s="23"/>
      <c r="P776" s="20"/>
      <c r="Q776" s="23"/>
      <c r="R776" s="24"/>
      <c r="S776" s="8"/>
    </row>
    <row r="777" spans="1:19">
      <c r="A777" s="68" t="s">
        <v>501</v>
      </c>
      <c r="B777" s="2" t="s">
        <v>177</v>
      </c>
      <c r="D777" s="4" t="s">
        <v>19</v>
      </c>
      <c r="F777" s="6">
        <v>1</v>
      </c>
      <c r="G777" s="7" t="s">
        <v>20</v>
      </c>
      <c r="H777" s="6">
        <v>120</v>
      </c>
      <c r="I777" s="7" t="s">
        <v>19</v>
      </c>
      <c r="J777" s="8">
        <v>11500</v>
      </c>
      <c r="K777" s="4" t="s">
        <v>19</v>
      </c>
      <c r="O777" s="7" t="s">
        <v>19</v>
      </c>
      <c r="P777" s="3">
        <f t="shared" ref="P777:P782" si="181">(C777+(E777*F777*H777))-N777</f>
        <v>0</v>
      </c>
      <c r="Q777" s="7" t="s">
        <v>19</v>
      </c>
      <c r="R777" s="8">
        <f t="shared" ref="R777:R782" si="182">P777*(J777-(J777*L777)-((J777-(J777*L777))*M777))</f>
        <v>0</v>
      </c>
      <c r="S777" s="8">
        <f t="shared" si="158"/>
        <v>0</v>
      </c>
    </row>
    <row r="778" spans="1:19">
      <c r="A778" s="68" t="s">
        <v>746</v>
      </c>
      <c r="B778" s="2" t="s">
        <v>177</v>
      </c>
      <c r="D778" s="4" t="s">
        <v>19</v>
      </c>
      <c r="F778" s="6">
        <v>1</v>
      </c>
      <c r="G778" s="7" t="s">
        <v>20</v>
      </c>
      <c r="H778" s="6">
        <v>100</v>
      </c>
      <c r="I778" s="7" t="s">
        <v>19</v>
      </c>
      <c r="J778" s="8">
        <v>13500</v>
      </c>
      <c r="K778" s="4" t="s">
        <v>19</v>
      </c>
      <c r="L778" s="9">
        <v>0.05</v>
      </c>
      <c r="O778" s="7" t="s">
        <v>19</v>
      </c>
      <c r="P778" s="3">
        <f t="shared" si="181"/>
        <v>0</v>
      </c>
      <c r="Q778" s="7" t="s">
        <v>19</v>
      </c>
      <c r="R778" s="8">
        <f t="shared" si="182"/>
        <v>0</v>
      </c>
      <c r="S778" s="8">
        <f t="shared" si="158"/>
        <v>0</v>
      </c>
    </row>
    <row r="779" spans="1:19">
      <c r="A779" s="68" t="s">
        <v>502</v>
      </c>
      <c r="B779" s="2" t="s">
        <v>177</v>
      </c>
      <c r="D779" s="4" t="s">
        <v>19</v>
      </c>
      <c r="F779" s="6">
        <v>1</v>
      </c>
      <c r="G779" s="7" t="s">
        <v>20</v>
      </c>
      <c r="H779" s="6">
        <v>96</v>
      </c>
      <c r="I779" s="7" t="s">
        <v>19</v>
      </c>
      <c r="J779" s="8">
        <v>21000</v>
      </c>
      <c r="K779" s="4" t="s">
        <v>19</v>
      </c>
      <c r="O779" s="7" t="s">
        <v>19</v>
      </c>
      <c r="P779" s="3">
        <f t="shared" si="181"/>
        <v>0</v>
      </c>
      <c r="Q779" s="7" t="s">
        <v>19</v>
      </c>
      <c r="R779" s="8">
        <f t="shared" si="182"/>
        <v>0</v>
      </c>
      <c r="S779" s="8">
        <f t="shared" si="158"/>
        <v>0</v>
      </c>
    </row>
    <row r="780" spans="1:19">
      <c r="A780" s="68" t="s">
        <v>694</v>
      </c>
      <c r="B780" s="2" t="s">
        <v>177</v>
      </c>
      <c r="D780" s="4" t="s">
        <v>19</v>
      </c>
      <c r="F780" s="6">
        <v>1</v>
      </c>
      <c r="G780" s="7" t="s">
        <v>20</v>
      </c>
      <c r="H780" s="6">
        <v>144</v>
      </c>
      <c r="I780" s="7" t="s">
        <v>19</v>
      </c>
      <c r="J780" s="8">
        <v>8750</v>
      </c>
      <c r="K780" s="4" t="s">
        <v>19</v>
      </c>
      <c r="O780" s="7" t="s">
        <v>19</v>
      </c>
      <c r="P780" s="3">
        <f t="shared" si="181"/>
        <v>0</v>
      </c>
      <c r="Q780" s="7" t="s">
        <v>19</v>
      </c>
      <c r="R780" s="8">
        <f t="shared" si="182"/>
        <v>0</v>
      </c>
      <c r="S780" s="8">
        <f t="shared" si="158"/>
        <v>0</v>
      </c>
    </row>
    <row r="781" spans="1:19">
      <c r="A781" s="68" t="s">
        <v>695</v>
      </c>
      <c r="B781" s="2" t="s">
        <v>177</v>
      </c>
      <c r="D781" s="4" t="s">
        <v>19</v>
      </c>
      <c r="F781" s="6">
        <v>1</v>
      </c>
      <c r="G781" s="7" t="s">
        <v>20</v>
      </c>
      <c r="H781" s="6">
        <v>144</v>
      </c>
      <c r="I781" s="7" t="s">
        <v>19</v>
      </c>
      <c r="J781" s="8">
        <v>8750</v>
      </c>
      <c r="K781" s="4" t="s">
        <v>19</v>
      </c>
      <c r="O781" s="7" t="s">
        <v>19</v>
      </c>
      <c r="P781" s="3">
        <f t="shared" si="181"/>
        <v>0</v>
      </c>
      <c r="Q781" s="7" t="s">
        <v>19</v>
      </c>
      <c r="R781" s="8">
        <f t="shared" si="182"/>
        <v>0</v>
      </c>
      <c r="S781" s="8">
        <f t="shared" si="158"/>
        <v>0</v>
      </c>
    </row>
    <row r="782" spans="1:19">
      <c r="A782" s="68" t="s">
        <v>696</v>
      </c>
      <c r="B782" s="2" t="s">
        <v>177</v>
      </c>
      <c r="D782" s="4" t="s">
        <v>19</v>
      </c>
      <c r="F782" s="6">
        <v>1</v>
      </c>
      <c r="G782" s="7" t="s">
        <v>20</v>
      </c>
      <c r="H782" s="6">
        <v>160</v>
      </c>
      <c r="I782" s="7" t="s">
        <v>19</v>
      </c>
      <c r="J782" s="8">
        <v>8750</v>
      </c>
      <c r="K782" s="4" t="s">
        <v>19</v>
      </c>
      <c r="O782" s="7" t="s">
        <v>19</v>
      </c>
      <c r="P782" s="3">
        <f t="shared" si="181"/>
        <v>0</v>
      </c>
      <c r="Q782" s="7" t="s">
        <v>19</v>
      </c>
      <c r="R782" s="8">
        <f t="shared" si="182"/>
        <v>0</v>
      </c>
      <c r="S782" s="8">
        <f t="shared" si="158"/>
        <v>0</v>
      </c>
    </row>
    <row r="783" spans="1:19">
      <c r="A783" s="58"/>
    </row>
    <row r="784" spans="1:19">
      <c r="A784" s="17" t="s">
        <v>690</v>
      </c>
      <c r="B784" s="2" t="s">
        <v>266</v>
      </c>
      <c r="D784" s="4" t="s">
        <v>19</v>
      </c>
      <c r="E784" s="41"/>
      <c r="F784" s="6">
        <v>1</v>
      </c>
      <c r="G784" s="7" t="s">
        <v>20</v>
      </c>
      <c r="H784" s="42">
        <v>480</v>
      </c>
      <c r="I784" s="7" t="s">
        <v>19</v>
      </c>
      <c r="J784" s="8">
        <v>26000</v>
      </c>
      <c r="K784" s="4" t="s">
        <v>19</v>
      </c>
      <c r="L784" s="40">
        <v>0.2</v>
      </c>
      <c r="O784" s="7" t="s">
        <v>19</v>
      </c>
      <c r="P784" s="3">
        <f>(C784+(E784*F784*H784))-N784</f>
        <v>0</v>
      </c>
      <c r="Q784" s="7" t="s">
        <v>19</v>
      </c>
      <c r="R784" s="8">
        <f>P784*(J784-(J784*L784)-((J784-(J784*L784))*M784))</f>
        <v>0</v>
      </c>
      <c r="S784" s="8">
        <f>R784/1.11</f>
        <v>0</v>
      </c>
    </row>
    <row r="785" spans="1:19">
      <c r="A785" s="17" t="s">
        <v>692</v>
      </c>
      <c r="B785" s="2" t="s">
        <v>266</v>
      </c>
      <c r="D785" s="4" t="s">
        <v>19</v>
      </c>
      <c r="E785" s="41"/>
      <c r="F785" s="6">
        <v>1</v>
      </c>
      <c r="G785" s="7" t="s">
        <v>20</v>
      </c>
      <c r="H785" s="42">
        <v>480</v>
      </c>
      <c r="I785" s="7" t="s">
        <v>19</v>
      </c>
      <c r="J785" s="8">
        <v>20800</v>
      </c>
      <c r="K785" s="4" t="s">
        <v>19</v>
      </c>
      <c r="L785" s="40">
        <v>0.3</v>
      </c>
      <c r="O785" s="7" t="s">
        <v>19</v>
      </c>
      <c r="P785" s="3">
        <f>(C785+(E785*F785*H785))-N785</f>
        <v>0</v>
      </c>
      <c r="Q785" s="7" t="s">
        <v>19</v>
      </c>
      <c r="R785" s="8">
        <f>P785*(J785-(J785*L785)-((J785-(J785*L785))*M785))</f>
        <v>0</v>
      </c>
      <c r="S785" s="8">
        <f>R785/1.11</f>
        <v>0</v>
      </c>
    </row>
    <row r="786" spans="1:19">
      <c r="A786" s="17" t="s">
        <v>688</v>
      </c>
      <c r="B786" s="2" t="s">
        <v>266</v>
      </c>
      <c r="D786" s="4" t="s">
        <v>19</v>
      </c>
      <c r="E786" s="41"/>
      <c r="F786" s="6">
        <v>1</v>
      </c>
      <c r="G786" s="7" t="s">
        <v>20</v>
      </c>
      <c r="H786" s="42">
        <v>480</v>
      </c>
      <c r="I786" s="7" t="s">
        <v>19</v>
      </c>
      <c r="J786" s="8">
        <v>15000</v>
      </c>
      <c r="K786" s="4" t="s">
        <v>19</v>
      </c>
      <c r="L786" s="40">
        <v>0.2</v>
      </c>
      <c r="O786" s="7" t="s">
        <v>19</v>
      </c>
      <c r="P786" s="3">
        <f>(C786+(E786*F786*H786))-N786</f>
        <v>0</v>
      </c>
      <c r="Q786" s="7" t="s">
        <v>19</v>
      </c>
      <c r="R786" s="8">
        <f>P786*(J786-(J786*L786)-((J786-(J786*L786))*M786))</f>
        <v>0</v>
      </c>
      <c r="S786" s="8">
        <f>R786/1.11</f>
        <v>0</v>
      </c>
    </row>
    <row r="787" spans="1:19">
      <c r="A787" s="17" t="s">
        <v>691</v>
      </c>
      <c r="B787" s="2" t="s">
        <v>266</v>
      </c>
      <c r="D787" s="4" t="s">
        <v>19</v>
      </c>
      <c r="E787" s="41"/>
      <c r="F787" s="6">
        <v>1</v>
      </c>
      <c r="G787" s="7" t="s">
        <v>20</v>
      </c>
      <c r="H787" s="42">
        <v>480</v>
      </c>
      <c r="I787" s="7" t="s">
        <v>19</v>
      </c>
      <c r="J787" s="8">
        <v>29900</v>
      </c>
      <c r="K787" s="4" t="s">
        <v>19</v>
      </c>
      <c r="L787" s="40">
        <v>0.25</v>
      </c>
      <c r="O787" s="7" t="s">
        <v>19</v>
      </c>
      <c r="P787" s="3">
        <f>(C787+(E787*F787*H787))-N787</f>
        <v>0</v>
      </c>
      <c r="Q787" s="7" t="s">
        <v>19</v>
      </c>
      <c r="R787" s="8">
        <f>P787*(J787-(J787*L787)-((J787-(J787*L787))*M787))</f>
        <v>0</v>
      </c>
      <c r="S787" s="8">
        <f>R787/1.11</f>
        <v>0</v>
      </c>
    </row>
    <row r="788" spans="1:19">
      <c r="A788" s="17" t="s">
        <v>689</v>
      </c>
      <c r="B788" s="2" t="s">
        <v>266</v>
      </c>
      <c r="D788" s="4" t="s">
        <v>19</v>
      </c>
      <c r="E788" s="41"/>
      <c r="F788" s="6">
        <v>1</v>
      </c>
      <c r="G788" s="7" t="s">
        <v>20</v>
      </c>
      <c r="H788" s="42">
        <v>384</v>
      </c>
      <c r="I788" s="7" t="s">
        <v>19</v>
      </c>
      <c r="J788" s="8">
        <v>16000</v>
      </c>
      <c r="K788" s="4" t="s">
        <v>19</v>
      </c>
      <c r="L788" s="40">
        <v>0.25</v>
      </c>
      <c r="O788" s="7" t="s">
        <v>19</v>
      </c>
      <c r="P788" s="3">
        <f>(C788+(E788*F788*H788))-N788</f>
        <v>0</v>
      </c>
      <c r="Q788" s="7" t="s">
        <v>19</v>
      </c>
      <c r="R788" s="8">
        <f>P788*(J788-(J788*L788)-((J788-(J788*L788))*M788))</f>
        <v>0</v>
      </c>
      <c r="S788" s="8">
        <f>R788/1.11</f>
        <v>0</v>
      </c>
    </row>
    <row r="790" spans="1:19" ht="15.75">
      <c r="A790" s="14" t="s">
        <v>503</v>
      </c>
    </row>
    <row r="791" spans="1:19">
      <c r="A791" s="15" t="s">
        <v>504</v>
      </c>
    </row>
    <row r="792" spans="1:19">
      <c r="A792" s="17" t="s">
        <v>794</v>
      </c>
      <c r="B792" s="2" t="s">
        <v>18</v>
      </c>
      <c r="D792" s="4" t="s">
        <v>33</v>
      </c>
      <c r="E792" s="5">
        <v>1</v>
      </c>
      <c r="F792" s="6">
        <v>1</v>
      </c>
      <c r="G792" s="7" t="s">
        <v>20</v>
      </c>
      <c r="H792" s="6">
        <v>48</v>
      </c>
      <c r="I792" s="7" t="s">
        <v>33</v>
      </c>
      <c r="J792" s="8">
        <v>31200</v>
      </c>
      <c r="K792" s="4" t="s">
        <v>33</v>
      </c>
      <c r="L792" s="9">
        <v>0.125</v>
      </c>
      <c r="M792" s="9">
        <v>0.05</v>
      </c>
      <c r="O792" s="7" t="s">
        <v>33</v>
      </c>
      <c r="P792" s="3">
        <f>(C792+(E792*F792*H792))-N792</f>
        <v>48</v>
      </c>
      <c r="Q792" s="7" t="s">
        <v>33</v>
      </c>
      <c r="R792" s="8">
        <f>P792*(J792-(J792*L792)-((J792-(J792*L792))*M792))</f>
        <v>1244880</v>
      </c>
      <c r="S792" s="8">
        <f t="shared" si="158"/>
        <v>1121513.5135135134</v>
      </c>
    </row>
    <row r="794" spans="1:19" s="19" customFormat="1">
      <c r="A794" s="59" t="s">
        <v>795</v>
      </c>
      <c r="B794" s="19" t="s">
        <v>25</v>
      </c>
      <c r="C794" s="20"/>
      <c r="D794" s="21" t="s">
        <v>41</v>
      </c>
      <c r="E794" s="26">
        <v>1</v>
      </c>
      <c r="F794" s="22">
        <v>1</v>
      </c>
      <c r="G794" s="23" t="s">
        <v>20</v>
      </c>
      <c r="H794" s="22">
        <v>48</v>
      </c>
      <c r="I794" s="23" t="s">
        <v>41</v>
      </c>
      <c r="J794" s="24">
        <f>1584000/48</f>
        <v>33000</v>
      </c>
      <c r="K794" s="21" t="s">
        <v>41</v>
      </c>
      <c r="L794" s="25"/>
      <c r="M794" s="25">
        <v>0.17</v>
      </c>
      <c r="N794" s="22"/>
      <c r="O794" s="23" t="s">
        <v>41</v>
      </c>
      <c r="P794" s="20">
        <f>(C794+(E794*F794*H794))-N794</f>
        <v>48</v>
      </c>
      <c r="Q794" s="23" t="s">
        <v>41</v>
      </c>
      <c r="R794" s="24">
        <f>P794*(J794-(J794*L794)-((J794-(J794*L794))*M794))</f>
        <v>1314720</v>
      </c>
      <c r="S794" s="24">
        <f t="shared" si="158"/>
        <v>1184432.4324324324</v>
      </c>
    </row>
    <row r="796" spans="1:19" ht="15.75">
      <c r="A796" s="14" t="s">
        <v>505</v>
      </c>
    </row>
    <row r="797" spans="1:19" s="19" customFormat="1">
      <c r="A797" s="18" t="s">
        <v>666</v>
      </c>
      <c r="B797" s="19" t="s">
        <v>18</v>
      </c>
      <c r="C797" s="20"/>
      <c r="D797" s="21" t="s">
        <v>19</v>
      </c>
      <c r="E797" s="26"/>
      <c r="F797" s="22">
        <v>10</v>
      </c>
      <c r="G797" s="23" t="s">
        <v>33</v>
      </c>
      <c r="H797" s="22">
        <v>12</v>
      </c>
      <c r="I797" s="23" t="s">
        <v>19</v>
      </c>
      <c r="J797" s="24">
        <v>11200</v>
      </c>
      <c r="K797" s="21" t="s">
        <v>19</v>
      </c>
      <c r="L797" s="25">
        <v>0.125</v>
      </c>
      <c r="M797" s="25">
        <v>0.05</v>
      </c>
      <c r="N797" s="22"/>
      <c r="O797" s="23" t="s">
        <v>19</v>
      </c>
      <c r="P797" s="20">
        <f t="shared" ref="P797:P802" si="183">(C797+(E797*F797*H797))-N797</f>
        <v>0</v>
      </c>
      <c r="Q797" s="23" t="s">
        <v>19</v>
      </c>
      <c r="R797" s="24">
        <f t="shared" ref="R797:R802" si="184">P797*(J797-(J797*L797)-((J797-(J797*L797))*M797))</f>
        <v>0</v>
      </c>
      <c r="S797" s="24">
        <f t="shared" ref="S797:S798" si="185">R797/1.11</f>
        <v>0</v>
      </c>
    </row>
    <row r="798" spans="1:19" s="19" customFormat="1">
      <c r="A798" s="18" t="s">
        <v>667</v>
      </c>
      <c r="B798" s="19" t="s">
        <v>18</v>
      </c>
      <c r="C798" s="20"/>
      <c r="D798" s="21" t="s">
        <v>19</v>
      </c>
      <c r="E798" s="26"/>
      <c r="F798" s="22">
        <v>10</v>
      </c>
      <c r="G798" s="23" t="s">
        <v>33</v>
      </c>
      <c r="H798" s="22">
        <v>12</v>
      </c>
      <c r="I798" s="23" t="s">
        <v>19</v>
      </c>
      <c r="J798" s="24">
        <v>12400</v>
      </c>
      <c r="K798" s="21" t="s">
        <v>19</v>
      </c>
      <c r="L798" s="25">
        <v>0.125</v>
      </c>
      <c r="M798" s="25">
        <v>0.05</v>
      </c>
      <c r="N798" s="22"/>
      <c r="O798" s="23" t="s">
        <v>19</v>
      </c>
      <c r="P798" s="20">
        <f t="shared" si="183"/>
        <v>0</v>
      </c>
      <c r="Q798" s="23" t="s">
        <v>19</v>
      </c>
      <c r="R798" s="24">
        <f t="shared" si="184"/>
        <v>0</v>
      </c>
      <c r="S798" s="24">
        <f t="shared" si="185"/>
        <v>0</v>
      </c>
    </row>
    <row r="799" spans="1:19" s="19" customFormat="1">
      <c r="A799" s="18" t="s">
        <v>506</v>
      </c>
      <c r="B799" s="19" t="s">
        <v>18</v>
      </c>
      <c r="C799" s="20"/>
      <c r="D799" s="21" t="s">
        <v>19</v>
      </c>
      <c r="E799" s="26">
        <v>1</v>
      </c>
      <c r="F799" s="22">
        <v>10</v>
      </c>
      <c r="G799" s="23" t="s">
        <v>33</v>
      </c>
      <c r="H799" s="22">
        <v>12</v>
      </c>
      <c r="I799" s="23" t="s">
        <v>19</v>
      </c>
      <c r="J799" s="24">
        <v>12950</v>
      </c>
      <c r="K799" s="21" t="s">
        <v>19</v>
      </c>
      <c r="L799" s="25">
        <v>0.125</v>
      </c>
      <c r="M799" s="25">
        <v>0.05</v>
      </c>
      <c r="N799" s="22"/>
      <c r="O799" s="23" t="s">
        <v>19</v>
      </c>
      <c r="P799" s="20">
        <f t="shared" si="183"/>
        <v>120</v>
      </c>
      <c r="Q799" s="23" t="s">
        <v>19</v>
      </c>
      <c r="R799" s="24">
        <f t="shared" si="184"/>
        <v>1291762.5</v>
      </c>
      <c r="S799" s="24">
        <f t="shared" si="158"/>
        <v>1163750</v>
      </c>
    </row>
    <row r="800" spans="1:19">
      <c r="A800" s="17" t="s">
        <v>507</v>
      </c>
      <c r="B800" s="2" t="s">
        <v>18</v>
      </c>
      <c r="D800" s="4" t="s">
        <v>19</v>
      </c>
      <c r="F800" s="6">
        <v>5</v>
      </c>
      <c r="G800" s="7" t="s">
        <v>33</v>
      </c>
      <c r="H800" s="6">
        <v>12</v>
      </c>
      <c r="I800" s="7" t="s">
        <v>19</v>
      </c>
      <c r="J800" s="8">
        <v>27000</v>
      </c>
      <c r="K800" s="4" t="s">
        <v>19</v>
      </c>
      <c r="L800" s="9">
        <v>0.125</v>
      </c>
      <c r="M800" s="9">
        <v>0.05</v>
      </c>
      <c r="O800" s="7" t="s">
        <v>19</v>
      </c>
      <c r="P800" s="3">
        <f t="shared" si="183"/>
        <v>0</v>
      </c>
      <c r="Q800" s="7" t="s">
        <v>19</v>
      </c>
      <c r="R800" s="8">
        <f t="shared" si="184"/>
        <v>0</v>
      </c>
      <c r="S800" s="8">
        <f t="shared" si="158"/>
        <v>0</v>
      </c>
    </row>
    <row r="801" spans="1:19">
      <c r="A801" s="17" t="s">
        <v>508</v>
      </c>
      <c r="B801" s="2" t="s">
        <v>18</v>
      </c>
      <c r="D801" s="4" t="s">
        <v>19</v>
      </c>
      <c r="F801" s="6">
        <v>1</v>
      </c>
      <c r="G801" s="7" t="s">
        <v>20</v>
      </c>
      <c r="H801" s="6">
        <v>24</v>
      </c>
      <c r="I801" s="7" t="s">
        <v>19</v>
      </c>
      <c r="J801" s="8">
        <v>40000</v>
      </c>
      <c r="K801" s="4" t="s">
        <v>19</v>
      </c>
      <c r="L801" s="9">
        <v>0.125</v>
      </c>
      <c r="M801" s="9">
        <v>0.05</v>
      </c>
      <c r="O801" s="7" t="s">
        <v>19</v>
      </c>
      <c r="P801" s="3">
        <f t="shared" si="183"/>
        <v>0</v>
      </c>
      <c r="Q801" s="7" t="s">
        <v>19</v>
      </c>
      <c r="R801" s="8">
        <f t="shared" si="184"/>
        <v>0</v>
      </c>
      <c r="S801" s="8">
        <f t="shared" si="158"/>
        <v>0</v>
      </c>
    </row>
    <row r="802" spans="1:19">
      <c r="A802" s="17" t="s">
        <v>509</v>
      </c>
      <c r="B802" s="2" t="s">
        <v>18</v>
      </c>
      <c r="D802" s="4" t="s">
        <v>19</v>
      </c>
      <c r="F802" s="6">
        <v>1</v>
      </c>
      <c r="G802" s="7" t="s">
        <v>20</v>
      </c>
      <c r="H802" s="6">
        <v>24</v>
      </c>
      <c r="I802" s="7" t="s">
        <v>19</v>
      </c>
      <c r="J802" s="8">
        <v>45500</v>
      </c>
      <c r="K802" s="4" t="s">
        <v>19</v>
      </c>
      <c r="L802" s="9">
        <v>0.125</v>
      </c>
      <c r="M802" s="9">
        <v>0.05</v>
      </c>
      <c r="O802" s="7" t="s">
        <v>19</v>
      </c>
      <c r="P802" s="3">
        <f t="shared" si="183"/>
        <v>0</v>
      </c>
      <c r="Q802" s="7" t="s">
        <v>19</v>
      </c>
      <c r="R802" s="8">
        <f t="shared" si="184"/>
        <v>0</v>
      </c>
      <c r="S802" s="8">
        <f t="shared" si="158"/>
        <v>0</v>
      </c>
    </row>
    <row r="804" spans="1:19">
      <c r="A804" s="17" t="s">
        <v>510</v>
      </c>
      <c r="B804" s="2" t="s">
        <v>25</v>
      </c>
      <c r="D804" s="4" t="s">
        <v>19</v>
      </c>
      <c r="F804" s="6">
        <v>10</v>
      </c>
      <c r="G804" s="7" t="s">
        <v>41</v>
      </c>
      <c r="H804" s="6">
        <v>12</v>
      </c>
      <c r="I804" s="7" t="s">
        <v>19</v>
      </c>
      <c r="J804" s="8">
        <f>1500000/10/12</f>
        <v>12500</v>
      </c>
      <c r="K804" s="4" t="s">
        <v>19</v>
      </c>
      <c r="M804" s="9">
        <v>0.17</v>
      </c>
      <c r="O804" s="7" t="s">
        <v>19</v>
      </c>
      <c r="P804" s="3">
        <f t="shared" ref="P804:P812" si="186">(C804+(E804*F804*H804))-N804</f>
        <v>0</v>
      </c>
      <c r="Q804" s="7" t="s">
        <v>19</v>
      </c>
      <c r="R804" s="8">
        <f t="shared" ref="R804:R812" si="187">P804*(J804-(J804*L804)-((J804-(J804*L804))*M804))</f>
        <v>0</v>
      </c>
      <c r="S804" s="8">
        <f t="shared" si="158"/>
        <v>0</v>
      </c>
    </row>
    <row r="805" spans="1:19" s="19" customFormat="1">
      <c r="A805" s="18" t="s">
        <v>511</v>
      </c>
      <c r="B805" s="19" t="s">
        <v>25</v>
      </c>
      <c r="C805" s="20"/>
      <c r="D805" s="21" t="s">
        <v>41</v>
      </c>
      <c r="E805" s="26">
        <v>4</v>
      </c>
      <c r="F805" s="22">
        <v>1</v>
      </c>
      <c r="G805" s="23" t="s">
        <v>20</v>
      </c>
      <c r="H805" s="22">
        <v>10</v>
      </c>
      <c r="I805" s="23" t="s">
        <v>41</v>
      </c>
      <c r="J805" s="24">
        <f>1560000/10</f>
        <v>156000</v>
      </c>
      <c r="K805" s="21" t="s">
        <v>41</v>
      </c>
      <c r="L805" s="25"/>
      <c r="M805" s="25">
        <v>0.17</v>
      </c>
      <c r="N805" s="22"/>
      <c r="O805" s="23" t="s">
        <v>41</v>
      </c>
      <c r="P805" s="20">
        <f t="shared" si="186"/>
        <v>40</v>
      </c>
      <c r="Q805" s="23" t="s">
        <v>41</v>
      </c>
      <c r="R805" s="24">
        <f t="shared" si="187"/>
        <v>5179200</v>
      </c>
      <c r="S805" s="24">
        <f t="shared" si="158"/>
        <v>4665945.9459459456</v>
      </c>
    </row>
    <row r="806" spans="1:19" s="19" customFormat="1">
      <c r="A806" s="18" t="s">
        <v>512</v>
      </c>
      <c r="B806" s="19" t="s">
        <v>25</v>
      </c>
      <c r="C806" s="20"/>
      <c r="D806" s="21" t="s">
        <v>19</v>
      </c>
      <c r="E806" s="26"/>
      <c r="F806" s="22">
        <v>10</v>
      </c>
      <c r="G806" s="23" t="s">
        <v>41</v>
      </c>
      <c r="H806" s="22">
        <v>12</v>
      </c>
      <c r="I806" s="23" t="s">
        <v>19</v>
      </c>
      <c r="J806" s="24">
        <f>13000</f>
        <v>13000</v>
      </c>
      <c r="K806" s="21" t="s">
        <v>19</v>
      </c>
      <c r="L806" s="25"/>
      <c r="M806" s="25">
        <v>0.17</v>
      </c>
      <c r="N806" s="22"/>
      <c r="O806" s="23" t="s">
        <v>19</v>
      </c>
      <c r="P806" s="20">
        <f t="shared" si="186"/>
        <v>0</v>
      </c>
      <c r="Q806" s="23" t="s">
        <v>19</v>
      </c>
      <c r="R806" s="24">
        <f t="shared" si="187"/>
        <v>0</v>
      </c>
      <c r="S806" s="8">
        <f t="shared" si="158"/>
        <v>0</v>
      </c>
    </row>
    <row r="807" spans="1:19" s="19" customFormat="1">
      <c r="A807" s="18" t="s">
        <v>513</v>
      </c>
      <c r="B807" s="19" t="s">
        <v>25</v>
      </c>
      <c r="C807" s="20"/>
      <c r="D807" s="21" t="s">
        <v>41</v>
      </c>
      <c r="E807" s="26"/>
      <c r="F807" s="22">
        <v>4</v>
      </c>
      <c r="G807" s="23" t="s">
        <v>33</v>
      </c>
      <c r="H807" s="22">
        <v>2</v>
      </c>
      <c r="I807" s="23" t="s">
        <v>41</v>
      </c>
      <c r="J807" s="24">
        <f>1440000/4/2</f>
        <v>180000</v>
      </c>
      <c r="K807" s="21" t="s">
        <v>41</v>
      </c>
      <c r="L807" s="25"/>
      <c r="M807" s="25">
        <v>0.17</v>
      </c>
      <c r="N807" s="22"/>
      <c r="O807" s="23" t="s">
        <v>41</v>
      </c>
      <c r="P807" s="20">
        <f t="shared" si="186"/>
        <v>0</v>
      </c>
      <c r="Q807" s="23" t="s">
        <v>41</v>
      </c>
      <c r="R807" s="24">
        <f t="shared" si="187"/>
        <v>0</v>
      </c>
      <c r="S807" s="24">
        <f t="shared" si="158"/>
        <v>0</v>
      </c>
    </row>
    <row r="808" spans="1:19" s="19" customFormat="1">
      <c r="A808" s="18" t="s">
        <v>514</v>
      </c>
      <c r="B808" s="19" t="s">
        <v>25</v>
      </c>
      <c r="C808" s="20"/>
      <c r="D808" s="21" t="s">
        <v>41</v>
      </c>
      <c r="E808" s="26"/>
      <c r="F808" s="22">
        <v>1</v>
      </c>
      <c r="G808" s="23" t="s">
        <v>20</v>
      </c>
      <c r="H808" s="22">
        <v>5</v>
      </c>
      <c r="I808" s="23" t="s">
        <v>41</v>
      </c>
      <c r="J808" s="24">
        <f>1410000/5</f>
        <v>282000</v>
      </c>
      <c r="K808" s="21" t="s">
        <v>19</v>
      </c>
      <c r="L808" s="25"/>
      <c r="M808" s="25">
        <v>0.17</v>
      </c>
      <c r="N808" s="22"/>
      <c r="O808" s="23" t="s">
        <v>41</v>
      </c>
      <c r="P808" s="20">
        <f t="shared" si="186"/>
        <v>0</v>
      </c>
      <c r="Q808" s="23" t="s">
        <v>41</v>
      </c>
      <c r="R808" s="24">
        <f t="shared" si="187"/>
        <v>0</v>
      </c>
      <c r="S808" s="24">
        <f t="shared" si="158"/>
        <v>0</v>
      </c>
    </row>
    <row r="809" spans="1:19" s="19" customFormat="1">
      <c r="A809" s="18" t="s">
        <v>515</v>
      </c>
      <c r="B809" s="19" t="s">
        <v>25</v>
      </c>
      <c r="C809" s="20"/>
      <c r="D809" s="21" t="s">
        <v>41</v>
      </c>
      <c r="E809" s="26"/>
      <c r="F809" s="22">
        <v>1</v>
      </c>
      <c r="G809" s="23" t="s">
        <v>20</v>
      </c>
      <c r="H809" s="22">
        <v>4</v>
      </c>
      <c r="I809" s="23" t="s">
        <v>41</v>
      </c>
      <c r="J809" s="24">
        <f>1410000/4</f>
        <v>352500</v>
      </c>
      <c r="K809" s="21" t="s">
        <v>41</v>
      </c>
      <c r="L809" s="25"/>
      <c r="M809" s="25">
        <v>0.17</v>
      </c>
      <c r="N809" s="22"/>
      <c r="O809" s="23" t="s">
        <v>41</v>
      </c>
      <c r="P809" s="20">
        <f t="shared" si="186"/>
        <v>0</v>
      </c>
      <c r="Q809" s="23" t="s">
        <v>41</v>
      </c>
      <c r="R809" s="24">
        <f t="shared" si="187"/>
        <v>0</v>
      </c>
      <c r="S809" s="24">
        <f t="shared" si="158"/>
        <v>0</v>
      </c>
    </row>
    <row r="810" spans="1:19">
      <c r="A810" s="17" t="s">
        <v>516</v>
      </c>
      <c r="B810" s="2" t="s">
        <v>25</v>
      </c>
      <c r="D810" s="4" t="s">
        <v>19</v>
      </c>
      <c r="F810" s="6">
        <v>1</v>
      </c>
      <c r="G810" s="7" t="s">
        <v>20</v>
      </c>
      <c r="H810" s="6">
        <v>24</v>
      </c>
      <c r="I810" s="7" t="s">
        <v>19</v>
      </c>
      <c r="J810" s="8">
        <f>1164000/24</f>
        <v>48500</v>
      </c>
      <c r="K810" s="4" t="s">
        <v>19</v>
      </c>
      <c r="M810" s="9">
        <v>0.17</v>
      </c>
      <c r="O810" s="7" t="s">
        <v>19</v>
      </c>
      <c r="P810" s="3">
        <f t="shared" si="186"/>
        <v>0</v>
      </c>
      <c r="Q810" s="7" t="s">
        <v>19</v>
      </c>
      <c r="R810" s="8">
        <f t="shared" si="187"/>
        <v>0</v>
      </c>
      <c r="S810" s="8">
        <f t="shared" si="158"/>
        <v>0</v>
      </c>
    </row>
    <row r="811" spans="1:19">
      <c r="A811" s="17" t="s">
        <v>517</v>
      </c>
      <c r="B811" s="2" t="s">
        <v>25</v>
      </c>
      <c r="D811" s="4" t="s">
        <v>19</v>
      </c>
      <c r="F811" s="6">
        <v>1</v>
      </c>
      <c r="G811" s="7" t="s">
        <v>20</v>
      </c>
      <c r="H811" s="6">
        <v>24</v>
      </c>
      <c r="I811" s="7" t="s">
        <v>19</v>
      </c>
      <c r="J811" s="8">
        <f>1020000/24</f>
        <v>42500</v>
      </c>
      <c r="K811" s="4" t="s">
        <v>19</v>
      </c>
      <c r="M811" s="9">
        <v>0.17</v>
      </c>
      <c r="O811" s="7" t="s">
        <v>19</v>
      </c>
      <c r="P811" s="3">
        <f t="shared" si="186"/>
        <v>0</v>
      </c>
      <c r="Q811" s="7" t="s">
        <v>19</v>
      </c>
      <c r="R811" s="8">
        <f t="shared" si="187"/>
        <v>0</v>
      </c>
      <c r="S811" s="8">
        <f t="shared" si="158"/>
        <v>0</v>
      </c>
    </row>
    <row r="812" spans="1:19">
      <c r="A812" s="17" t="s">
        <v>518</v>
      </c>
      <c r="B812" s="2" t="s">
        <v>25</v>
      </c>
      <c r="D812" s="4" t="s">
        <v>19</v>
      </c>
      <c r="E812" s="5">
        <v>2</v>
      </c>
      <c r="F812" s="6">
        <v>1</v>
      </c>
      <c r="G812" s="7" t="s">
        <v>20</v>
      </c>
      <c r="H812" s="6">
        <v>24</v>
      </c>
      <c r="I812" s="7" t="s">
        <v>19</v>
      </c>
      <c r="J812" s="8">
        <f>1416000/24</f>
        <v>59000</v>
      </c>
      <c r="K812" s="4" t="s">
        <v>19</v>
      </c>
      <c r="M812" s="9">
        <v>0.17</v>
      </c>
      <c r="O812" s="7" t="s">
        <v>19</v>
      </c>
      <c r="P812" s="3">
        <f t="shared" si="186"/>
        <v>48</v>
      </c>
      <c r="Q812" s="7" t="s">
        <v>19</v>
      </c>
      <c r="R812" s="8">
        <f t="shared" si="187"/>
        <v>2350560</v>
      </c>
      <c r="S812" s="8">
        <f t="shared" si="158"/>
        <v>2117621.6216216213</v>
      </c>
    </row>
    <row r="815" spans="1:19" ht="15.75">
      <c r="A815" s="14" t="s">
        <v>530</v>
      </c>
    </row>
    <row r="816" spans="1:19" s="19" customFormat="1">
      <c r="A816" s="18" t="s">
        <v>531</v>
      </c>
      <c r="B816" s="19" t="s">
        <v>18</v>
      </c>
      <c r="C816" s="20"/>
      <c r="D816" s="21" t="s">
        <v>19</v>
      </c>
      <c r="E816" s="26"/>
      <c r="F816" s="22">
        <v>72</v>
      </c>
      <c r="G816" s="23" t="s">
        <v>33</v>
      </c>
      <c r="H816" s="22">
        <v>10</v>
      </c>
      <c r="I816" s="23" t="s">
        <v>19</v>
      </c>
      <c r="J816" s="24">
        <v>3700</v>
      </c>
      <c r="K816" s="21" t="s">
        <v>19</v>
      </c>
      <c r="L816" s="25">
        <v>0.125</v>
      </c>
      <c r="M816" s="25">
        <v>0.05</v>
      </c>
      <c r="N816" s="22"/>
      <c r="O816" s="23" t="s">
        <v>19</v>
      </c>
      <c r="P816" s="20">
        <f>(C816+(E816*F816*H816))-N816</f>
        <v>0</v>
      </c>
      <c r="Q816" s="23" t="s">
        <v>19</v>
      </c>
      <c r="R816" s="24">
        <f>P816*(J816-(J816*L816)-((J816-(J816*L816))*M816))</f>
        <v>0</v>
      </c>
      <c r="S816" s="24">
        <f t="shared" ref="S816:S890" si="188">R816/1.11</f>
        <v>0</v>
      </c>
    </row>
    <row r="817" spans="1:19" s="19" customFormat="1">
      <c r="A817" s="18" t="s">
        <v>532</v>
      </c>
      <c r="B817" s="19" t="s">
        <v>18</v>
      </c>
      <c r="C817" s="20"/>
      <c r="D817" s="21" t="s">
        <v>157</v>
      </c>
      <c r="E817" s="26"/>
      <c r="F817" s="22">
        <v>12</v>
      </c>
      <c r="G817" s="23" t="s">
        <v>33</v>
      </c>
      <c r="H817" s="22">
        <v>24</v>
      </c>
      <c r="I817" s="23" t="s">
        <v>157</v>
      </c>
      <c r="J817" s="24">
        <v>16500</v>
      </c>
      <c r="K817" s="21" t="s">
        <v>157</v>
      </c>
      <c r="L817" s="25">
        <v>0.125</v>
      </c>
      <c r="M817" s="25">
        <v>0.05</v>
      </c>
      <c r="N817" s="22"/>
      <c r="O817" s="23" t="s">
        <v>157</v>
      </c>
      <c r="P817" s="20">
        <f>(C817+(E817*F817*H817))-N817</f>
        <v>0</v>
      </c>
      <c r="Q817" s="23" t="s">
        <v>157</v>
      </c>
      <c r="R817" s="24">
        <f>P817*(J817-(J817*L817)-((J817-(J817*L817))*M817))</f>
        <v>0</v>
      </c>
      <c r="S817" s="8">
        <f t="shared" si="188"/>
        <v>0</v>
      </c>
    </row>
    <row r="818" spans="1:19" s="19" customFormat="1">
      <c r="A818" s="18"/>
      <c r="C818" s="20"/>
      <c r="D818" s="21"/>
      <c r="E818" s="26"/>
      <c r="F818" s="22"/>
      <c r="G818" s="23"/>
      <c r="H818" s="22"/>
      <c r="I818" s="23"/>
      <c r="J818" s="24"/>
      <c r="K818" s="21"/>
      <c r="L818" s="25"/>
      <c r="M818" s="25"/>
      <c r="N818" s="22"/>
      <c r="O818" s="23"/>
      <c r="P818" s="20"/>
      <c r="Q818" s="23"/>
      <c r="R818" s="24"/>
      <c r="S818" s="8"/>
    </row>
    <row r="819" spans="1:19">
      <c r="A819" s="17" t="s">
        <v>533</v>
      </c>
      <c r="B819" s="2" t="s">
        <v>25</v>
      </c>
      <c r="D819" s="4" t="s">
        <v>19</v>
      </c>
      <c r="F819" s="6">
        <v>48</v>
      </c>
      <c r="G819" s="7" t="s">
        <v>33</v>
      </c>
      <c r="H819" s="6">
        <v>10</v>
      </c>
      <c r="I819" s="7" t="s">
        <v>19</v>
      </c>
      <c r="J819" s="8">
        <f>30500/10</f>
        <v>3050</v>
      </c>
      <c r="K819" s="4" t="s">
        <v>19</v>
      </c>
      <c r="M819" s="9">
        <v>0.17</v>
      </c>
      <c r="O819" s="7" t="s">
        <v>19</v>
      </c>
      <c r="P819" s="3">
        <f>(C819+(E819*F819*H819))-N819</f>
        <v>0</v>
      </c>
      <c r="Q819" s="7" t="s">
        <v>19</v>
      </c>
      <c r="R819" s="8">
        <f>P819*(J819-(J819*L819)-((J819-(J819*L819))*M819))</f>
        <v>0</v>
      </c>
      <c r="S819" s="8">
        <f t="shared" si="188"/>
        <v>0</v>
      </c>
    </row>
    <row r="820" spans="1:19">
      <c r="A820" s="17" t="s">
        <v>534</v>
      </c>
      <c r="B820" s="2" t="s">
        <v>25</v>
      </c>
      <c r="D820" s="4" t="s">
        <v>19</v>
      </c>
      <c r="F820" s="6">
        <v>48</v>
      </c>
      <c r="G820" s="7" t="s">
        <v>33</v>
      </c>
      <c r="H820" s="6">
        <v>10</v>
      </c>
      <c r="I820" s="7" t="s">
        <v>19</v>
      </c>
      <c r="J820" s="8">
        <f>30500/10</f>
        <v>3050</v>
      </c>
      <c r="K820" s="4" t="s">
        <v>19</v>
      </c>
      <c r="M820" s="9">
        <v>0.17</v>
      </c>
      <c r="O820" s="7" t="s">
        <v>19</v>
      </c>
      <c r="P820" s="3">
        <f>(C820+(E820*F820*H820))-N820</f>
        <v>0</v>
      </c>
      <c r="Q820" s="7" t="s">
        <v>19</v>
      </c>
      <c r="R820" s="8">
        <f>P820*(J820-(J820*L820)-((J820-(J820*L820))*M820))</f>
        <v>0</v>
      </c>
      <c r="S820" s="8">
        <f t="shared" si="188"/>
        <v>0</v>
      </c>
    </row>
    <row r="821" spans="1:19">
      <c r="A821" s="17" t="s">
        <v>535</v>
      </c>
      <c r="B821" s="2" t="s">
        <v>25</v>
      </c>
      <c r="D821" s="4" t="s">
        <v>41</v>
      </c>
      <c r="F821" s="6">
        <v>12</v>
      </c>
      <c r="G821" s="7" t="s">
        <v>33</v>
      </c>
      <c r="H821" s="6">
        <v>12</v>
      </c>
      <c r="I821" s="7" t="s">
        <v>41</v>
      </c>
      <c r="J821" s="8">
        <v>25800</v>
      </c>
      <c r="K821" s="4" t="s">
        <v>41</v>
      </c>
      <c r="M821" s="9">
        <v>0.17</v>
      </c>
      <c r="O821" s="7" t="s">
        <v>41</v>
      </c>
      <c r="P821" s="3">
        <f>(C821+(E821*F821*H821))-N821</f>
        <v>0</v>
      </c>
      <c r="Q821" s="7" t="s">
        <v>41</v>
      </c>
      <c r="R821" s="8">
        <f>P821*(J821-(J821*L821)-((J821-(J821*L821))*M821))</f>
        <v>0</v>
      </c>
      <c r="S821" s="8">
        <f t="shared" si="188"/>
        <v>0</v>
      </c>
    </row>
    <row r="823" spans="1:19" s="19" customFormat="1">
      <c r="A823" s="18" t="s">
        <v>536</v>
      </c>
      <c r="B823" s="19" t="s">
        <v>266</v>
      </c>
      <c r="C823" s="20"/>
      <c r="D823" s="21" t="s">
        <v>100</v>
      </c>
      <c r="E823" s="26"/>
      <c r="F823" s="22">
        <v>1</v>
      </c>
      <c r="G823" s="23" t="s">
        <v>20</v>
      </c>
      <c r="H823" s="22">
        <v>24</v>
      </c>
      <c r="I823" s="23" t="s">
        <v>100</v>
      </c>
      <c r="J823" s="24">
        <v>94000</v>
      </c>
      <c r="K823" s="21" t="s">
        <v>100</v>
      </c>
      <c r="L823" s="25"/>
      <c r="M823" s="25"/>
      <c r="N823" s="22"/>
      <c r="O823" s="23" t="s">
        <v>100</v>
      </c>
      <c r="P823" s="20">
        <f>(C823+(E823*F823*H823))-N823</f>
        <v>0</v>
      </c>
      <c r="Q823" s="23" t="s">
        <v>100</v>
      </c>
      <c r="R823" s="24">
        <f>P823*(J823-(J823*L823)-((J823-(J823*L823))*M823))</f>
        <v>0</v>
      </c>
      <c r="S823" s="8">
        <f t="shared" si="188"/>
        <v>0</v>
      </c>
    </row>
    <row r="824" spans="1:19" s="19" customFormat="1">
      <c r="A824" s="18"/>
      <c r="C824" s="20"/>
      <c r="D824" s="21"/>
      <c r="E824" s="26"/>
      <c r="F824" s="22"/>
      <c r="G824" s="23"/>
      <c r="H824" s="22"/>
      <c r="I824" s="23"/>
      <c r="J824" s="24"/>
      <c r="K824" s="21"/>
      <c r="L824" s="25"/>
      <c r="M824" s="25"/>
      <c r="N824" s="22"/>
      <c r="O824" s="23"/>
      <c r="P824" s="20"/>
      <c r="Q824" s="23"/>
      <c r="R824" s="24"/>
      <c r="S824" s="8"/>
    </row>
    <row r="825" spans="1:19">
      <c r="A825" s="17" t="s">
        <v>537</v>
      </c>
      <c r="B825" s="2" t="s">
        <v>177</v>
      </c>
      <c r="D825" s="4" t="s">
        <v>41</v>
      </c>
      <c r="F825" s="6">
        <v>1</v>
      </c>
      <c r="G825" s="7" t="s">
        <v>20</v>
      </c>
      <c r="H825" s="6">
        <v>108</v>
      </c>
      <c r="I825" s="7" t="s">
        <v>41</v>
      </c>
      <c r="J825" s="8">
        <v>18000</v>
      </c>
      <c r="K825" s="4" t="s">
        <v>41</v>
      </c>
      <c r="L825" s="9">
        <v>0.05</v>
      </c>
      <c r="O825" s="7" t="s">
        <v>41</v>
      </c>
      <c r="P825" s="3">
        <f>(C825+(E825*F825*H825))-N825</f>
        <v>0</v>
      </c>
      <c r="Q825" s="7" t="s">
        <v>41</v>
      </c>
      <c r="R825" s="8">
        <f>P825*(J825-(J825*L825)-((J825-(J825*L825))*M825))</f>
        <v>0</v>
      </c>
      <c r="S825" s="8">
        <f t="shared" si="188"/>
        <v>0</v>
      </c>
    </row>
    <row r="827" spans="1:19">
      <c r="A827" s="17" t="s">
        <v>670</v>
      </c>
      <c r="B827" s="2" t="s">
        <v>604</v>
      </c>
      <c r="D827" s="4" t="s">
        <v>19</v>
      </c>
      <c r="F827" s="6">
        <v>1</v>
      </c>
      <c r="G827" s="7" t="s">
        <v>20</v>
      </c>
      <c r="H827" s="6">
        <v>600</v>
      </c>
      <c r="I827" s="7" t="s">
        <v>19</v>
      </c>
      <c r="J827" s="8">
        <v>2700</v>
      </c>
      <c r="K827" s="4" t="s">
        <v>19</v>
      </c>
      <c r="L827" s="9">
        <v>0.35</v>
      </c>
      <c r="O827" s="7" t="s">
        <v>19</v>
      </c>
      <c r="P827" s="3">
        <f>(C827+(E827*F827*H827))-N827</f>
        <v>0</v>
      </c>
      <c r="Q827" s="7" t="s">
        <v>19</v>
      </c>
      <c r="R827" s="8">
        <f>P827*(J827-(J827*L827)-((J827-(J827*L827))*M827))</f>
        <v>0</v>
      </c>
      <c r="S827" s="8">
        <f t="shared" si="188"/>
        <v>0</v>
      </c>
    </row>
    <row r="829" spans="1:19" ht="15.75">
      <c r="A829" s="14" t="s">
        <v>538</v>
      </c>
    </row>
    <row r="830" spans="1:19">
      <c r="A830" s="15" t="s">
        <v>539</v>
      </c>
    </row>
    <row r="831" spans="1:19" s="19" customFormat="1">
      <c r="A831" s="18" t="s">
        <v>540</v>
      </c>
      <c r="B831" s="19" t="s">
        <v>18</v>
      </c>
      <c r="C831" s="20"/>
      <c r="D831" s="21" t="s">
        <v>19</v>
      </c>
      <c r="E831" s="26"/>
      <c r="F831" s="22">
        <v>40</v>
      </c>
      <c r="G831" s="23" t="s">
        <v>100</v>
      </c>
      <c r="H831" s="22">
        <v>12</v>
      </c>
      <c r="I831" s="23" t="s">
        <v>19</v>
      </c>
      <c r="J831" s="24">
        <v>6700</v>
      </c>
      <c r="K831" s="21" t="s">
        <v>19</v>
      </c>
      <c r="L831" s="25">
        <v>0.125</v>
      </c>
      <c r="M831" s="25">
        <v>0.05</v>
      </c>
      <c r="N831" s="22"/>
      <c r="O831" s="23" t="s">
        <v>19</v>
      </c>
      <c r="P831" s="20">
        <f>(C831+(E831*F831*H831))-N831</f>
        <v>0</v>
      </c>
      <c r="Q831" s="23" t="s">
        <v>19</v>
      </c>
      <c r="R831" s="24">
        <f>P831*(J831-(J831*L831)-((J831-(J831*L831))*M831))</f>
        <v>0</v>
      </c>
      <c r="S831" s="8">
        <f t="shared" si="188"/>
        <v>0</v>
      </c>
    </row>
    <row r="832" spans="1:19" s="19" customFormat="1">
      <c r="A832" s="91" t="s">
        <v>541</v>
      </c>
      <c r="B832" s="19" t="s">
        <v>18</v>
      </c>
      <c r="C832" s="20"/>
      <c r="D832" s="21" t="s">
        <v>19</v>
      </c>
      <c r="E832" s="26">
        <v>1</v>
      </c>
      <c r="F832" s="22">
        <v>20</v>
      </c>
      <c r="G832" s="23" t="s">
        <v>100</v>
      </c>
      <c r="H832" s="22">
        <v>12</v>
      </c>
      <c r="I832" s="23" t="s">
        <v>19</v>
      </c>
      <c r="J832" s="94">
        <v>8600</v>
      </c>
      <c r="K832" s="21" t="s">
        <v>19</v>
      </c>
      <c r="L832" s="25">
        <v>0.125</v>
      </c>
      <c r="M832" s="25">
        <v>0.05</v>
      </c>
      <c r="N832" s="22"/>
      <c r="O832" s="23" t="s">
        <v>19</v>
      </c>
      <c r="P832" s="20">
        <f>(C832+(E832*F832*H832))-N832</f>
        <v>240</v>
      </c>
      <c r="Q832" s="23" t="s">
        <v>19</v>
      </c>
      <c r="R832" s="24">
        <f>P832*(J832-(J832*L832)-((J832-(J832*L832))*M832))</f>
        <v>1715700</v>
      </c>
      <c r="S832" s="8">
        <f t="shared" ref="S832" si="189">R832/1.11</f>
        <v>1545675.6756756755</v>
      </c>
    </row>
    <row r="833" spans="1:19" s="19" customFormat="1">
      <c r="A833" s="18" t="s">
        <v>541</v>
      </c>
      <c r="B833" s="19" t="s">
        <v>18</v>
      </c>
      <c r="C833" s="20"/>
      <c r="D833" s="21" t="s">
        <v>19</v>
      </c>
      <c r="E833" s="26"/>
      <c r="F833" s="22">
        <v>20</v>
      </c>
      <c r="G833" s="23" t="s">
        <v>100</v>
      </c>
      <c r="H833" s="22">
        <v>12</v>
      </c>
      <c r="I833" s="23" t="s">
        <v>19</v>
      </c>
      <c r="J833" s="24">
        <v>8400</v>
      </c>
      <c r="K833" s="21" t="s">
        <v>19</v>
      </c>
      <c r="L833" s="25">
        <v>0.125</v>
      </c>
      <c r="M833" s="25">
        <v>0.05</v>
      </c>
      <c r="N833" s="22"/>
      <c r="O833" s="23" t="s">
        <v>19</v>
      </c>
      <c r="P833" s="20">
        <f>(C833+(E833*F833*H833))-N833</f>
        <v>0</v>
      </c>
      <c r="Q833" s="23" t="s">
        <v>19</v>
      </c>
      <c r="R833" s="24">
        <f>P833*(J833-(J833*L833)-((J833-(J833*L833))*M833))</f>
        <v>0</v>
      </c>
      <c r="S833" s="8">
        <f t="shared" si="188"/>
        <v>0</v>
      </c>
    </row>
    <row r="834" spans="1:19" s="19" customFormat="1">
      <c r="A834" s="18"/>
      <c r="C834" s="20"/>
      <c r="D834" s="21"/>
      <c r="E834" s="26"/>
      <c r="F834" s="22"/>
      <c r="G834" s="23"/>
      <c r="H834" s="22"/>
      <c r="I834" s="23"/>
      <c r="J834" s="24"/>
      <c r="K834" s="21"/>
      <c r="L834" s="25"/>
      <c r="M834" s="25"/>
      <c r="N834" s="22"/>
      <c r="O834" s="23"/>
      <c r="P834" s="20"/>
      <c r="Q834" s="23"/>
      <c r="R834" s="24"/>
      <c r="S834" s="8"/>
    </row>
    <row r="835" spans="1:19">
      <c r="A835" s="59" t="s">
        <v>542</v>
      </c>
      <c r="B835" s="2" t="s">
        <v>25</v>
      </c>
      <c r="D835" s="4" t="s">
        <v>41</v>
      </c>
      <c r="F835" s="6">
        <v>1</v>
      </c>
      <c r="G835" s="7" t="s">
        <v>20</v>
      </c>
      <c r="H835" s="6">
        <v>40</v>
      </c>
      <c r="I835" s="7" t="s">
        <v>41</v>
      </c>
      <c r="J835" s="8">
        <f>3096000/40</f>
        <v>77400</v>
      </c>
      <c r="K835" s="4" t="s">
        <v>41</v>
      </c>
      <c r="M835" s="9">
        <v>0.17</v>
      </c>
      <c r="O835" s="7" t="s">
        <v>41</v>
      </c>
      <c r="P835" s="3">
        <f t="shared" ref="P835:P840" si="190">(C835+(E835*F835*H835))-N835</f>
        <v>0</v>
      </c>
      <c r="Q835" s="7" t="s">
        <v>41</v>
      </c>
      <c r="R835" s="8">
        <f t="shared" ref="R835:R840" si="191">P835*(J835-(J835*L835)-((J835-(J835*L835))*M835))</f>
        <v>0</v>
      </c>
      <c r="S835" s="8">
        <f t="shared" si="188"/>
        <v>0</v>
      </c>
    </row>
    <row r="836" spans="1:19">
      <c r="A836" s="59" t="s">
        <v>543</v>
      </c>
      <c r="B836" s="2" t="s">
        <v>25</v>
      </c>
      <c r="D836" s="4" t="s">
        <v>41</v>
      </c>
      <c r="F836" s="6">
        <v>1</v>
      </c>
      <c r="G836" s="7" t="s">
        <v>20</v>
      </c>
      <c r="H836" s="6">
        <v>40</v>
      </c>
      <c r="I836" s="7" t="s">
        <v>41</v>
      </c>
      <c r="J836" s="8">
        <f>2976000/40</f>
        <v>74400</v>
      </c>
      <c r="K836" s="4" t="s">
        <v>41</v>
      </c>
      <c r="M836" s="9">
        <v>0.17</v>
      </c>
      <c r="O836" s="7" t="s">
        <v>41</v>
      </c>
      <c r="P836" s="3">
        <f t="shared" si="190"/>
        <v>0</v>
      </c>
      <c r="Q836" s="7" t="s">
        <v>41</v>
      </c>
      <c r="R836" s="8">
        <f t="shared" si="191"/>
        <v>0</v>
      </c>
      <c r="S836" s="8">
        <f t="shared" si="188"/>
        <v>0</v>
      </c>
    </row>
    <row r="837" spans="1:19">
      <c r="A837" s="59" t="s">
        <v>544</v>
      </c>
      <c r="B837" s="2" t="s">
        <v>25</v>
      </c>
      <c r="D837" s="4" t="s">
        <v>19</v>
      </c>
      <c r="F837" s="6">
        <v>1</v>
      </c>
      <c r="G837" s="7" t="s">
        <v>20</v>
      </c>
      <c r="H837" s="6">
        <v>20</v>
      </c>
      <c r="I837" s="7" t="s">
        <v>19</v>
      </c>
      <c r="J837" s="8">
        <v>90000</v>
      </c>
      <c r="K837" s="4" t="s">
        <v>19</v>
      </c>
      <c r="M837" s="9">
        <v>0.17</v>
      </c>
      <c r="O837" s="7" t="s">
        <v>19</v>
      </c>
      <c r="P837" s="3">
        <f t="shared" si="190"/>
        <v>0</v>
      </c>
      <c r="Q837" s="7" t="s">
        <v>19</v>
      </c>
      <c r="R837" s="8">
        <f t="shared" si="191"/>
        <v>0</v>
      </c>
      <c r="S837" s="8">
        <f t="shared" si="188"/>
        <v>0</v>
      </c>
    </row>
    <row r="838" spans="1:19">
      <c r="A838" s="59" t="s">
        <v>545</v>
      </c>
      <c r="B838" s="2" t="s">
        <v>25</v>
      </c>
      <c r="D838" s="4" t="s">
        <v>19</v>
      </c>
      <c r="F838" s="6">
        <v>1</v>
      </c>
      <c r="G838" s="7" t="s">
        <v>20</v>
      </c>
      <c r="H838" s="6">
        <v>20</v>
      </c>
      <c r="I838" s="7" t="s">
        <v>19</v>
      </c>
      <c r="J838" s="8">
        <v>87500</v>
      </c>
      <c r="K838" s="4" t="s">
        <v>19</v>
      </c>
      <c r="M838" s="9">
        <v>0.17</v>
      </c>
      <c r="O838" s="7" t="s">
        <v>19</v>
      </c>
      <c r="P838" s="3">
        <f t="shared" si="190"/>
        <v>0</v>
      </c>
      <c r="Q838" s="7" t="s">
        <v>19</v>
      </c>
      <c r="R838" s="8">
        <f t="shared" si="191"/>
        <v>0</v>
      </c>
      <c r="S838" s="8">
        <f t="shared" si="188"/>
        <v>0</v>
      </c>
    </row>
    <row r="839" spans="1:19">
      <c r="A839" s="59" t="s">
        <v>546</v>
      </c>
      <c r="B839" s="2" t="s">
        <v>25</v>
      </c>
      <c r="D839" s="4" t="s">
        <v>41</v>
      </c>
      <c r="F839" s="6">
        <v>1</v>
      </c>
      <c r="G839" s="7" t="s">
        <v>20</v>
      </c>
      <c r="H839" s="6">
        <v>40</v>
      </c>
      <c r="I839" s="7" t="s">
        <v>41</v>
      </c>
      <c r="J839" s="8">
        <f>3360000/40</f>
        <v>84000</v>
      </c>
      <c r="K839" s="4" t="s">
        <v>41</v>
      </c>
      <c r="M839" s="9">
        <v>0.17</v>
      </c>
      <c r="O839" s="7" t="s">
        <v>41</v>
      </c>
      <c r="P839" s="3">
        <f t="shared" si="190"/>
        <v>0</v>
      </c>
      <c r="Q839" s="7" t="s">
        <v>41</v>
      </c>
      <c r="R839" s="8">
        <f t="shared" si="191"/>
        <v>0</v>
      </c>
      <c r="S839" s="8">
        <f t="shared" si="188"/>
        <v>0</v>
      </c>
    </row>
    <row r="840" spans="1:19">
      <c r="A840" s="59" t="s">
        <v>547</v>
      </c>
      <c r="B840" s="2" t="s">
        <v>25</v>
      </c>
      <c r="D840" s="4" t="s">
        <v>41</v>
      </c>
      <c r="F840" s="6">
        <v>1</v>
      </c>
      <c r="G840" s="7" t="s">
        <v>20</v>
      </c>
      <c r="H840" s="6">
        <v>20</v>
      </c>
      <c r="I840" s="7" t="s">
        <v>41</v>
      </c>
      <c r="J840" s="8">
        <f>1992000/20</f>
        <v>99600</v>
      </c>
      <c r="K840" s="4" t="s">
        <v>41</v>
      </c>
      <c r="M840" s="9">
        <v>0.17</v>
      </c>
      <c r="O840" s="7" t="s">
        <v>41</v>
      </c>
      <c r="P840" s="3">
        <f t="shared" si="190"/>
        <v>0</v>
      </c>
      <c r="Q840" s="7" t="s">
        <v>41</v>
      </c>
      <c r="R840" s="8">
        <f t="shared" si="191"/>
        <v>0</v>
      </c>
      <c r="S840" s="8">
        <f t="shared" si="188"/>
        <v>0</v>
      </c>
    </row>
    <row r="841" spans="1:19">
      <c r="A841" s="59"/>
    </row>
    <row r="842" spans="1:19">
      <c r="A842" s="15" t="s">
        <v>548</v>
      </c>
    </row>
    <row r="843" spans="1:19" s="19" customFormat="1">
      <c r="A843" s="18" t="s">
        <v>549</v>
      </c>
      <c r="B843" s="19" t="s">
        <v>18</v>
      </c>
      <c r="C843" s="20"/>
      <c r="D843" s="21" t="s">
        <v>41</v>
      </c>
      <c r="E843" s="26"/>
      <c r="F843" s="22">
        <v>18</v>
      </c>
      <c r="G843" s="23" t="s">
        <v>100</v>
      </c>
      <c r="H843" s="22">
        <v>1</v>
      </c>
      <c r="I843" s="23" t="s">
        <v>41</v>
      </c>
      <c r="J843" s="24">
        <f>4900*12</f>
        <v>58800</v>
      </c>
      <c r="K843" s="21" t="s">
        <v>41</v>
      </c>
      <c r="L843" s="25">
        <v>0.125</v>
      </c>
      <c r="M843" s="25">
        <v>0.05</v>
      </c>
      <c r="N843" s="22"/>
      <c r="O843" s="23" t="s">
        <v>41</v>
      </c>
      <c r="P843" s="20">
        <f>(C843+(E843*F843*H843))-N843</f>
        <v>0</v>
      </c>
      <c r="Q843" s="23" t="s">
        <v>41</v>
      </c>
      <c r="R843" s="24">
        <f>P843*(J843-(J843*L843)-((J843-(J843*L843))*M843))</f>
        <v>0</v>
      </c>
      <c r="S843" s="8">
        <f t="shared" si="188"/>
        <v>0</v>
      </c>
    </row>
    <row r="844" spans="1:19" s="19" customFormat="1">
      <c r="A844" s="18" t="s">
        <v>550</v>
      </c>
      <c r="B844" s="19" t="s">
        <v>18</v>
      </c>
      <c r="C844" s="20"/>
      <c r="D844" s="21" t="s">
        <v>41</v>
      </c>
      <c r="E844" s="26"/>
      <c r="F844" s="22">
        <v>24</v>
      </c>
      <c r="G844" s="23" t="s">
        <v>100</v>
      </c>
      <c r="H844" s="22">
        <v>2</v>
      </c>
      <c r="I844" s="23" t="s">
        <v>41</v>
      </c>
      <c r="J844" s="24">
        <f>4900*12</f>
        <v>58800</v>
      </c>
      <c r="K844" s="21" t="s">
        <v>41</v>
      </c>
      <c r="L844" s="25">
        <v>0.125</v>
      </c>
      <c r="M844" s="25">
        <v>0.05</v>
      </c>
      <c r="N844" s="22"/>
      <c r="O844" s="23" t="s">
        <v>41</v>
      </c>
      <c r="P844" s="20">
        <f>(C844+(E844*F844*H844))-N844</f>
        <v>0</v>
      </c>
      <c r="Q844" s="23" t="s">
        <v>41</v>
      </c>
      <c r="R844" s="24">
        <f>P844*(J844-(J844*L844)-((J844-(J844*L844))*M844))</f>
        <v>0</v>
      </c>
      <c r="S844" s="8">
        <f t="shared" si="188"/>
        <v>0</v>
      </c>
    </row>
    <row r="845" spans="1:19" s="19" customFormat="1">
      <c r="A845" s="91" t="s">
        <v>551</v>
      </c>
      <c r="B845" s="19" t="s">
        <v>18</v>
      </c>
      <c r="C845" s="20"/>
      <c r="D845" s="21" t="s">
        <v>41</v>
      </c>
      <c r="E845" s="26">
        <v>1</v>
      </c>
      <c r="F845" s="22">
        <v>18</v>
      </c>
      <c r="G845" s="23" t="s">
        <v>100</v>
      </c>
      <c r="H845" s="22">
        <v>1</v>
      </c>
      <c r="I845" s="23" t="s">
        <v>41</v>
      </c>
      <c r="J845" s="24">
        <v>69600</v>
      </c>
      <c r="K845" s="21" t="s">
        <v>41</v>
      </c>
      <c r="L845" s="25">
        <v>0.125</v>
      </c>
      <c r="M845" s="25">
        <v>0.05</v>
      </c>
      <c r="N845" s="22"/>
      <c r="O845" s="23" t="s">
        <v>41</v>
      </c>
      <c r="P845" s="20">
        <v>18</v>
      </c>
      <c r="Q845" s="23" t="s">
        <v>41</v>
      </c>
      <c r="R845" s="24">
        <f>P845*(J845-(J845*L845)-((J845-(J845*L845))*M845))</f>
        <v>1041390</v>
      </c>
      <c r="S845" s="8">
        <f t="shared" ref="S845" si="192">R845/1.11</f>
        <v>938189.18918918911</v>
      </c>
    </row>
    <row r="846" spans="1:19" s="19" customFormat="1">
      <c r="A846" s="18" t="s">
        <v>551</v>
      </c>
      <c r="B846" s="19" t="s">
        <v>18</v>
      </c>
      <c r="C846" s="20"/>
      <c r="D846" s="21" t="s">
        <v>41</v>
      </c>
      <c r="E846" s="26"/>
      <c r="F846" s="22">
        <v>18</v>
      </c>
      <c r="G846" s="23" t="s">
        <v>100</v>
      </c>
      <c r="H846" s="22">
        <v>1</v>
      </c>
      <c r="I846" s="23" t="s">
        <v>41</v>
      </c>
      <c r="J846" s="24">
        <f>6100*12</f>
        <v>73200</v>
      </c>
      <c r="K846" s="21" t="s">
        <v>41</v>
      </c>
      <c r="L846" s="25">
        <v>0.125</v>
      </c>
      <c r="M846" s="25">
        <v>0.05</v>
      </c>
      <c r="N846" s="22"/>
      <c r="O846" s="23" t="s">
        <v>41</v>
      </c>
      <c r="P846" s="20">
        <f>(C846+(E846*F846*H846))-N846</f>
        <v>0</v>
      </c>
      <c r="Q846" s="23" t="s">
        <v>41</v>
      </c>
      <c r="R846" s="24">
        <f>P846*(J846-(J846*L846)-((J846-(J846*L846))*M846))</f>
        <v>0</v>
      </c>
      <c r="S846" s="8">
        <f t="shared" si="188"/>
        <v>0</v>
      </c>
    </row>
    <row r="847" spans="1:19" s="19" customFormat="1">
      <c r="A847" s="18" t="s">
        <v>552</v>
      </c>
      <c r="B847" s="19" t="s">
        <v>18</v>
      </c>
      <c r="C847" s="20"/>
      <c r="D847" s="21" t="s">
        <v>41</v>
      </c>
      <c r="E847" s="26"/>
      <c r="F847" s="22">
        <v>24</v>
      </c>
      <c r="G847" s="23" t="s">
        <v>100</v>
      </c>
      <c r="H847" s="22">
        <v>6</v>
      </c>
      <c r="I847" s="23" t="s">
        <v>19</v>
      </c>
      <c r="J847" s="24">
        <v>12600</v>
      </c>
      <c r="K847" s="21" t="s">
        <v>19</v>
      </c>
      <c r="L847" s="25">
        <v>0.125</v>
      </c>
      <c r="M847" s="25">
        <v>0.05</v>
      </c>
      <c r="N847" s="22"/>
      <c r="O847" s="23" t="s">
        <v>19</v>
      </c>
      <c r="P847" s="20">
        <f>(C847+(E847*F847*H847))-N847</f>
        <v>0</v>
      </c>
      <c r="Q847" s="23" t="s">
        <v>19</v>
      </c>
      <c r="R847" s="24">
        <f>P847*(J847-(J847*L847)-((J847-(J847*L847))*M847))</f>
        <v>0</v>
      </c>
      <c r="S847" s="8">
        <f t="shared" si="188"/>
        <v>0</v>
      </c>
    </row>
    <row r="848" spans="1:19" s="19" customFormat="1">
      <c r="A848" s="18"/>
      <c r="C848" s="20"/>
      <c r="D848" s="21"/>
      <c r="E848" s="26"/>
      <c r="F848" s="22"/>
      <c r="G848" s="23"/>
      <c r="H848" s="22"/>
      <c r="I848" s="23"/>
      <c r="J848" s="24"/>
      <c r="K848" s="21"/>
      <c r="L848" s="25"/>
      <c r="M848" s="25"/>
      <c r="N848" s="22"/>
      <c r="O848" s="23"/>
      <c r="P848" s="20"/>
      <c r="Q848" s="23"/>
      <c r="R848" s="24"/>
      <c r="S848" s="8"/>
    </row>
    <row r="849" spans="1:19" s="19" customFormat="1">
      <c r="A849" s="18" t="s">
        <v>553</v>
      </c>
      <c r="B849" s="19" t="s">
        <v>25</v>
      </c>
      <c r="C849" s="20"/>
      <c r="D849" s="21" t="s">
        <v>41</v>
      </c>
      <c r="E849" s="26">
        <v>3</v>
      </c>
      <c r="F849" s="22">
        <v>1</v>
      </c>
      <c r="G849" s="23" t="s">
        <v>20</v>
      </c>
      <c r="H849" s="22">
        <v>18</v>
      </c>
      <c r="I849" s="23" t="s">
        <v>41</v>
      </c>
      <c r="J849" s="24">
        <f>1069200/18</f>
        <v>59400</v>
      </c>
      <c r="K849" s="21" t="s">
        <v>41</v>
      </c>
      <c r="L849" s="25"/>
      <c r="M849" s="25">
        <v>0.17</v>
      </c>
      <c r="N849" s="22"/>
      <c r="O849" s="23" t="s">
        <v>41</v>
      </c>
      <c r="P849" s="20">
        <f>(C849+(E849*F849*H849))-N849</f>
        <v>54</v>
      </c>
      <c r="Q849" s="23" t="s">
        <v>41</v>
      </c>
      <c r="R849" s="24">
        <f>P849*(J849-(J849*L849)-((J849-(J849*L849))*M849))</f>
        <v>2662308</v>
      </c>
      <c r="S849" s="24">
        <f t="shared" si="188"/>
        <v>2398475.6756756753</v>
      </c>
    </row>
    <row r="850" spans="1:19">
      <c r="A850" s="17" t="s">
        <v>554</v>
      </c>
      <c r="B850" s="2" t="s">
        <v>25</v>
      </c>
      <c r="D850" s="4" t="s">
        <v>41</v>
      </c>
      <c r="F850" s="6">
        <v>1</v>
      </c>
      <c r="G850" s="7" t="s">
        <v>20</v>
      </c>
      <c r="H850" s="6">
        <v>18</v>
      </c>
      <c r="I850" s="7" t="s">
        <v>41</v>
      </c>
      <c r="J850" s="8">
        <f>1274400/18</f>
        <v>70800</v>
      </c>
      <c r="K850" s="4" t="s">
        <v>41</v>
      </c>
      <c r="M850" s="9">
        <v>0.17</v>
      </c>
      <c r="O850" s="7" t="s">
        <v>41</v>
      </c>
      <c r="P850" s="3">
        <f>(C850+(E850*F850*H850))-N850</f>
        <v>0</v>
      </c>
      <c r="Q850" s="7" t="s">
        <v>41</v>
      </c>
      <c r="R850" s="8">
        <f>P850*(J850-(J850*L850)-((J850-(J850*L850))*M850))</f>
        <v>0</v>
      </c>
      <c r="S850" s="8">
        <f t="shared" si="188"/>
        <v>0</v>
      </c>
    </row>
    <row r="852" spans="1:19" ht="15.75">
      <c r="A852" s="14" t="s">
        <v>555</v>
      </c>
    </row>
    <row r="853" spans="1:19">
      <c r="A853" s="15" t="s">
        <v>556</v>
      </c>
    </row>
    <row r="854" spans="1:19">
      <c r="A854" s="17" t="s">
        <v>710</v>
      </c>
      <c r="B854" s="19" t="s">
        <v>18</v>
      </c>
      <c r="D854" s="4" t="s">
        <v>19</v>
      </c>
      <c r="E854" s="5">
        <v>2</v>
      </c>
      <c r="F854" s="6">
        <v>1</v>
      </c>
      <c r="G854" s="7" t="s">
        <v>20</v>
      </c>
      <c r="H854" s="6">
        <v>72</v>
      </c>
      <c r="I854" s="7" t="s">
        <v>19</v>
      </c>
      <c r="J854" s="8">
        <v>34500</v>
      </c>
      <c r="K854" s="4" t="s">
        <v>19</v>
      </c>
      <c r="L854" s="9">
        <v>0.125</v>
      </c>
      <c r="M854" s="9">
        <v>0.05</v>
      </c>
      <c r="O854" s="7" t="s">
        <v>19</v>
      </c>
      <c r="P854" s="3">
        <f>(C854+(E854*F854*H854))-N854</f>
        <v>144</v>
      </c>
      <c r="Q854" s="7" t="s">
        <v>19</v>
      </c>
      <c r="R854" s="8">
        <f>P854*(J854-(J854*L854)-((J854-(J854*L854))*M854))</f>
        <v>4129650</v>
      </c>
      <c r="S854" s="8">
        <f t="shared" ref="S854" si="193">R854/1.11</f>
        <v>3720405.405405405</v>
      </c>
    </row>
    <row r="855" spans="1:19">
      <c r="A855" s="17" t="s">
        <v>557</v>
      </c>
      <c r="B855" s="19" t="s">
        <v>18</v>
      </c>
      <c r="D855" s="4" t="s">
        <v>19</v>
      </c>
      <c r="F855" s="6">
        <v>1</v>
      </c>
      <c r="G855" s="7" t="s">
        <v>20</v>
      </c>
      <c r="H855" s="6">
        <v>24</v>
      </c>
      <c r="I855" s="7" t="s">
        <v>19</v>
      </c>
      <c r="J855" s="8">
        <v>97000</v>
      </c>
      <c r="K855" s="4" t="s">
        <v>19</v>
      </c>
      <c r="L855" s="9">
        <v>0.125</v>
      </c>
      <c r="M855" s="9">
        <v>0.05</v>
      </c>
      <c r="O855" s="7" t="s">
        <v>19</v>
      </c>
      <c r="P855" s="3">
        <f>(C855+(E855*F855*H855))-N855</f>
        <v>0</v>
      </c>
      <c r="Q855" s="7" t="s">
        <v>19</v>
      </c>
      <c r="R855" s="8">
        <f>P855*(J855-(J855*L855)-((J855-(J855*L855))*M855))</f>
        <v>0</v>
      </c>
      <c r="S855" s="8">
        <f t="shared" si="188"/>
        <v>0</v>
      </c>
    </row>
    <row r="856" spans="1:19">
      <c r="B856" s="19"/>
    </row>
    <row r="857" spans="1:19">
      <c r="A857" s="17" t="s">
        <v>558</v>
      </c>
      <c r="B857" s="2" t="s">
        <v>25</v>
      </c>
      <c r="D857" s="4" t="s">
        <v>41</v>
      </c>
      <c r="F857" s="6">
        <v>1</v>
      </c>
      <c r="G857" s="7" t="s">
        <v>20</v>
      </c>
      <c r="H857" s="6">
        <v>48</v>
      </c>
      <c r="I857" s="7" t="s">
        <v>19</v>
      </c>
      <c r="J857" s="8">
        <f>2400000/48</f>
        <v>50000</v>
      </c>
      <c r="K857" s="4" t="s">
        <v>19</v>
      </c>
      <c r="M857" s="9">
        <v>0.17</v>
      </c>
      <c r="O857" s="7" t="s">
        <v>19</v>
      </c>
      <c r="P857" s="3">
        <f>(C857+(E857*F857*H857))-N857</f>
        <v>0</v>
      </c>
      <c r="Q857" s="7" t="s">
        <v>19</v>
      </c>
      <c r="R857" s="8">
        <f>P857*(J857-(J857*L857)-((J857-(J857*L857))*M857))</f>
        <v>0</v>
      </c>
      <c r="S857" s="8">
        <f t="shared" si="188"/>
        <v>0</v>
      </c>
    </row>
    <row r="859" spans="1:19">
      <c r="A859" s="15" t="s">
        <v>559</v>
      </c>
    </row>
    <row r="860" spans="1:19" s="19" customFormat="1">
      <c r="A860" s="18" t="s">
        <v>560</v>
      </c>
      <c r="B860" s="19" t="s">
        <v>18</v>
      </c>
      <c r="C860" s="20"/>
      <c r="D860" s="21" t="s">
        <v>41</v>
      </c>
      <c r="E860" s="26">
        <v>7</v>
      </c>
      <c r="F860" s="22">
        <v>1</v>
      </c>
      <c r="G860" s="23" t="s">
        <v>20</v>
      </c>
      <c r="H860" s="22">
        <v>20</v>
      </c>
      <c r="I860" s="23" t="s">
        <v>41</v>
      </c>
      <c r="J860" s="24">
        <v>85200</v>
      </c>
      <c r="K860" s="21" t="s">
        <v>41</v>
      </c>
      <c r="L860" s="25">
        <v>0.125</v>
      </c>
      <c r="M860" s="25">
        <v>0.05</v>
      </c>
      <c r="N860" s="22"/>
      <c r="O860" s="23" t="s">
        <v>41</v>
      </c>
      <c r="P860" s="20">
        <f t="shared" ref="P860:P872" si="194">(C860+(E860*F860*H860))-N860</f>
        <v>140</v>
      </c>
      <c r="Q860" s="23" t="s">
        <v>41</v>
      </c>
      <c r="R860" s="24">
        <f t="shared" ref="R860:R872" si="195">P860*(J860-(J860*L860)-((J860-(J860*L860))*M860))</f>
        <v>9915150</v>
      </c>
      <c r="S860" s="24">
        <f t="shared" si="188"/>
        <v>8932567.5675675664</v>
      </c>
    </row>
    <row r="861" spans="1:19">
      <c r="A861" s="17" t="s">
        <v>561</v>
      </c>
      <c r="B861" s="2" t="s">
        <v>18</v>
      </c>
      <c r="D861" s="4" t="s">
        <v>19</v>
      </c>
      <c r="F861" s="6">
        <v>24</v>
      </c>
      <c r="G861" s="7" t="s">
        <v>33</v>
      </c>
      <c r="H861" s="6">
        <v>10</v>
      </c>
      <c r="I861" s="7" t="s">
        <v>19</v>
      </c>
      <c r="J861" s="8">
        <v>9750</v>
      </c>
      <c r="K861" s="4" t="s">
        <v>19</v>
      </c>
      <c r="L861" s="9">
        <v>0.125</v>
      </c>
      <c r="M861" s="9">
        <v>0.05</v>
      </c>
      <c r="O861" s="7" t="s">
        <v>19</v>
      </c>
      <c r="P861" s="3">
        <f t="shared" si="194"/>
        <v>0</v>
      </c>
      <c r="Q861" s="7" t="s">
        <v>19</v>
      </c>
      <c r="R861" s="8">
        <f t="shared" si="195"/>
        <v>0</v>
      </c>
      <c r="S861" s="8">
        <f t="shared" si="188"/>
        <v>0</v>
      </c>
    </row>
    <row r="862" spans="1:19">
      <c r="A862" s="17" t="s">
        <v>562</v>
      </c>
      <c r="B862" s="2" t="s">
        <v>18</v>
      </c>
      <c r="D862" s="4" t="s">
        <v>41</v>
      </c>
      <c r="F862" s="6">
        <v>1</v>
      </c>
      <c r="G862" s="7" t="s">
        <v>20</v>
      </c>
      <c r="H862" s="6">
        <v>25</v>
      </c>
      <c r="I862" s="7" t="s">
        <v>41</v>
      </c>
      <c r="J862" s="8">
        <v>70800</v>
      </c>
      <c r="K862" s="4" t="s">
        <v>41</v>
      </c>
      <c r="L862" s="9">
        <v>0.125</v>
      </c>
      <c r="M862" s="9">
        <v>0.05</v>
      </c>
      <c r="O862" s="7" t="s">
        <v>41</v>
      </c>
      <c r="P862" s="3">
        <f t="shared" si="194"/>
        <v>0</v>
      </c>
      <c r="Q862" s="7" t="s">
        <v>41</v>
      </c>
      <c r="R862" s="8">
        <f t="shared" si="195"/>
        <v>0</v>
      </c>
      <c r="S862" s="8">
        <f t="shared" si="188"/>
        <v>0</v>
      </c>
    </row>
    <row r="863" spans="1:19" s="19" customFormat="1">
      <c r="A863" s="18" t="s">
        <v>563</v>
      </c>
      <c r="B863" s="19" t="s">
        <v>18</v>
      </c>
      <c r="C863" s="20"/>
      <c r="D863" s="21" t="s">
        <v>41</v>
      </c>
      <c r="E863" s="26"/>
      <c r="F863" s="22">
        <v>20</v>
      </c>
      <c r="G863" s="23" t="s">
        <v>33</v>
      </c>
      <c r="H863" s="22">
        <v>1</v>
      </c>
      <c r="I863" s="23" t="s">
        <v>41</v>
      </c>
      <c r="J863" s="24">
        <f>6800*12</f>
        <v>81600</v>
      </c>
      <c r="K863" s="21" t="s">
        <v>41</v>
      </c>
      <c r="L863" s="25">
        <v>0.125</v>
      </c>
      <c r="M863" s="25">
        <v>0.05</v>
      </c>
      <c r="N863" s="22"/>
      <c r="O863" s="23" t="s">
        <v>41</v>
      </c>
      <c r="P863" s="20">
        <f t="shared" si="194"/>
        <v>0</v>
      </c>
      <c r="Q863" s="23" t="s">
        <v>41</v>
      </c>
      <c r="R863" s="24">
        <f t="shared" si="195"/>
        <v>0</v>
      </c>
      <c r="S863" s="24">
        <f t="shared" si="188"/>
        <v>0</v>
      </c>
    </row>
    <row r="864" spans="1:19" s="19" customFormat="1">
      <c r="A864" s="18" t="s">
        <v>564</v>
      </c>
      <c r="B864" s="19" t="s">
        <v>18</v>
      </c>
      <c r="C864" s="20"/>
      <c r="D864" s="21" t="s">
        <v>19</v>
      </c>
      <c r="E864" s="26"/>
      <c r="F864" s="22">
        <v>20</v>
      </c>
      <c r="G864" s="23" t="s">
        <v>33</v>
      </c>
      <c r="H864" s="22">
        <v>6</v>
      </c>
      <c r="I864" s="23" t="s">
        <v>19</v>
      </c>
      <c r="J864" s="24">
        <v>18700</v>
      </c>
      <c r="K864" s="21" t="s">
        <v>19</v>
      </c>
      <c r="L864" s="25">
        <v>0.125</v>
      </c>
      <c r="M864" s="25">
        <v>0.05</v>
      </c>
      <c r="N864" s="22"/>
      <c r="O864" s="23" t="s">
        <v>19</v>
      </c>
      <c r="P864" s="20">
        <f t="shared" si="194"/>
        <v>0</v>
      </c>
      <c r="Q864" s="23" t="s">
        <v>19</v>
      </c>
      <c r="R864" s="24">
        <f t="shared" si="195"/>
        <v>0</v>
      </c>
      <c r="S864" s="24">
        <f t="shared" si="188"/>
        <v>0</v>
      </c>
    </row>
    <row r="865" spans="1:19" s="19" customFormat="1">
      <c r="A865" s="18" t="s">
        <v>565</v>
      </c>
      <c r="B865" s="19" t="s">
        <v>18</v>
      </c>
      <c r="C865" s="20"/>
      <c r="D865" s="21" t="s">
        <v>19</v>
      </c>
      <c r="E865" s="26"/>
      <c r="F865" s="22">
        <v>20</v>
      </c>
      <c r="G865" s="23" t="s">
        <v>33</v>
      </c>
      <c r="H865" s="22">
        <v>6</v>
      </c>
      <c r="I865" s="23" t="s">
        <v>19</v>
      </c>
      <c r="J865" s="24">
        <v>18000</v>
      </c>
      <c r="K865" s="21" t="s">
        <v>19</v>
      </c>
      <c r="L865" s="25">
        <v>0.125</v>
      </c>
      <c r="M865" s="25">
        <v>0.05</v>
      </c>
      <c r="N865" s="22"/>
      <c r="O865" s="23" t="s">
        <v>19</v>
      </c>
      <c r="P865" s="20">
        <f t="shared" si="194"/>
        <v>0</v>
      </c>
      <c r="Q865" s="23" t="s">
        <v>19</v>
      </c>
      <c r="R865" s="24">
        <f t="shared" si="195"/>
        <v>0</v>
      </c>
      <c r="S865" s="24">
        <f t="shared" si="188"/>
        <v>0</v>
      </c>
    </row>
    <row r="866" spans="1:19">
      <c r="A866" s="17" t="s">
        <v>566</v>
      </c>
      <c r="B866" s="2" t="s">
        <v>18</v>
      </c>
      <c r="D866" s="4" t="s">
        <v>19</v>
      </c>
      <c r="F866" s="6">
        <v>1</v>
      </c>
      <c r="G866" s="7" t="s">
        <v>20</v>
      </c>
      <c r="H866" s="6">
        <v>12</v>
      </c>
      <c r="I866" s="7" t="s">
        <v>19</v>
      </c>
      <c r="J866" s="8">
        <v>162000</v>
      </c>
      <c r="K866" s="4" t="s">
        <v>19</v>
      </c>
      <c r="L866" s="9">
        <v>0.125</v>
      </c>
      <c r="M866" s="9">
        <v>0.05</v>
      </c>
      <c r="O866" s="7" t="s">
        <v>19</v>
      </c>
      <c r="P866" s="3">
        <f t="shared" si="194"/>
        <v>0</v>
      </c>
      <c r="Q866" s="7" t="s">
        <v>19</v>
      </c>
      <c r="R866" s="8">
        <f t="shared" si="195"/>
        <v>0</v>
      </c>
      <c r="S866" s="8">
        <f t="shared" si="188"/>
        <v>0</v>
      </c>
    </row>
    <row r="867" spans="1:19">
      <c r="A867" s="17" t="s">
        <v>785</v>
      </c>
      <c r="B867" s="2" t="s">
        <v>18</v>
      </c>
      <c r="D867" s="4" t="s">
        <v>19</v>
      </c>
      <c r="F867" s="6">
        <v>1</v>
      </c>
      <c r="G867" s="7" t="s">
        <v>20</v>
      </c>
      <c r="H867" s="6">
        <v>12</v>
      </c>
      <c r="I867" s="7" t="s">
        <v>19</v>
      </c>
      <c r="J867" s="8">
        <v>200000</v>
      </c>
      <c r="K867" s="4" t="s">
        <v>19</v>
      </c>
      <c r="L867" s="9">
        <v>0.125</v>
      </c>
      <c r="M867" s="9">
        <v>0.05</v>
      </c>
      <c r="O867" s="7" t="s">
        <v>19</v>
      </c>
      <c r="P867" s="3">
        <f t="shared" si="194"/>
        <v>0</v>
      </c>
      <c r="Q867" s="7" t="s">
        <v>19</v>
      </c>
      <c r="R867" s="8">
        <f t="shared" si="195"/>
        <v>0</v>
      </c>
      <c r="S867" s="8">
        <f t="shared" si="188"/>
        <v>0</v>
      </c>
    </row>
    <row r="868" spans="1:19">
      <c r="A868" s="17" t="s">
        <v>567</v>
      </c>
      <c r="B868" s="2" t="s">
        <v>18</v>
      </c>
      <c r="D868" s="4" t="s">
        <v>19</v>
      </c>
      <c r="F868" s="6">
        <v>1</v>
      </c>
      <c r="G868" s="7" t="s">
        <v>20</v>
      </c>
      <c r="H868" s="6">
        <v>36</v>
      </c>
      <c r="I868" s="7" t="s">
        <v>19</v>
      </c>
      <c r="J868" s="8">
        <v>58000</v>
      </c>
      <c r="K868" s="4" t="s">
        <v>19</v>
      </c>
      <c r="L868" s="9">
        <v>0.125</v>
      </c>
      <c r="M868" s="9">
        <v>0.05</v>
      </c>
      <c r="O868" s="7" t="s">
        <v>19</v>
      </c>
      <c r="P868" s="3">
        <f t="shared" si="194"/>
        <v>0</v>
      </c>
      <c r="Q868" s="7" t="s">
        <v>19</v>
      </c>
      <c r="R868" s="8">
        <f t="shared" si="195"/>
        <v>0</v>
      </c>
      <c r="S868" s="8">
        <f t="shared" si="188"/>
        <v>0</v>
      </c>
    </row>
    <row r="869" spans="1:19">
      <c r="A869" s="17" t="s">
        <v>568</v>
      </c>
      <c r="B869" s="2" t="s">
        <v>18</v>
      </c>
      <c r="D869" s="4" t="s">
        <v>19</v>
      </c>
      <c r="F869" s="6">
        <v>1</v>
      </c>
      <c r="G869" s="7" t="s">
        <v>20</v>
      </c>
      <c r="H869" s="6">
        <v>12</v>
      </c>
      <c r="I869" s="7" t="s">
        <v>19</v>
      </c>
      <c r="J869" s="8">
        <v>97000</v>
      </c>
      <c r="K869" s="4" t="s">
        <v>19</v>
      </c>
      <c r="L869" s="9">
        <v>0.125</v>
      </c>
      <c r="M869" s="9">
        <v>0.05</v>
      </c>
      <c r="O869" s="7" t="s">
        <v>19</v>
      </c>
      <c r="P869" s="3">
        <f t="shared" si="194"/>
        <v>0</v>
      </c>
      <c r="Q869" s="7" t="s">
        <v>19</v>
      </c>
      <c r="R869" s="8">
        <f t="shared" si="195"/>
        <v>0</v>
      </c>
      <c r="S869" s="8">
        <f t="shared" si="188"/>
        <v>0</v>
      </c>
    </row>
    <row r="870" spans="1:19" s="19" customFormat="1">
      <c r="A870" s="18" t="s">
        <v>569</v>
      </c>
      <c r="B870" s="19" t="s">
        <v>18</v>
      </c>
      <c r="C870" s="20"/>
      <c r="D870" s="21" t="s">
        <v>19</v>
      </c>
      <c r="E870" s="26">
        <v>2</v>
      </c>
      <c r="F870" s="22">
        <v>1</v>
      </c>
      <c r="G870" s="23" t="s">
        <v>20</v>
      </c>
      <c r="H870" s="22">
        <v>12</v>
      </c>
      <c r="I870" s="23" t="s">
        <v>19</v>
      </c>
      <c r="J870" s="24">
        <v>97000</v>
      </c>
      <c r="K870" s="21" t="s">
        <v>19</v>
      </c>
      <c r="L870" s="25">
        <v>0.125</v>
      </c>
      <c r="M870" s="25">
        <v>0.05</v>
      </c>
      <c r="N870" s="22"/>
      <c r="O870" s="23" t="s">
        <v>19</v>
      </c>
      <c r="P870" s="20">
        <f t="shared" si="194"/>
        <v>24</v>
      </c>
      <c r="Q870" s="23" t="s">
        <v>19</v>
      </c>
      <c r="R870" s="24">
        <f t="shared" si="195"/>
        <v>1935150</v>
      </c>
      <c r="S870" s="24">
        <f t="shared" si="188"/>
        <v>1743378.3783783782</v>
      </c>
    </row>
    <row r="871" spans="1:19">
      <c r="A871" s="17" t="s">
        <v>570</v>
      </c>
      <c r="B871" s="2" t="s">
        <v>18</v>
      </c>
      <c r="D871" s="4" t="s">
        <v>19</v>
      </c>
      <c r="E871" s="5">
        <v>2</v>
      </c>
      <c r="F871" s="6">
        <v>1</v>
      </c>
      <c r="G871" s="7" t="s">
        <v>20</v>
      </c>
      <c r="H871" s="6">
        <v>6</v>
      </c>
      <c r="I871" s="7" t="s">
        <v>19</v>
      </c>
      <c r="J871" s="8">
        <v>187000</v>
      </c>
      <c r="K871" s="4" t="s">
        <v>19</v>
      </c>
      <c r="L871" s="9">
        <v>0.125</v>
      </c>
      <c r="M871" s="9">
        <v>0.05</v>
      </c>
      <c r="O871" s="7" t="s">
        <v>19</v>
      </c>
      <c r="P871" s="3">
        <f t="shared" si="194"/>
        <v>12</v>
      </c>
      <c r="Q871" s="7" t="s">
        <v>19</v>
      </c>
      <c r="R871" s="8">
        <f t="shared" si="195"/>
        <v>1865325</v>
      </c>
      <c r="S871" s="8">
        <f t="shared" si="188"/>
        <v>1680472.9729729728</v>
      </c>
    </row>
    <row r="872" spans="1:19">
      <c r="A872" s="17" t="s">
        <v>571</v>
      </c>
      <c r="B872" s="2" t="s">
        <v>18</v>
      </c>
      <c r="D872" s="4" t="s">
        <v>19</v>
      </c>
      <c r="F872" s="6">
        <v>1</v>
      </c>
      <c r="G872" s="7" t="s">
        <v>20</v>
      </c>
      <c r="H872" s="6">
        <v>6</v>
      </c>
      <c r="I872" s="7" t="s">
        <v>19</v>
      </c>
      <c r="J872" s="8">
        <v>420000</v>
      </c>
      <c r="K872" s="4" t="s">
        <v>19</v>
      </c>
      <c r="L872" s="9">
        <v>0.125</v>
      </c>
      <c r="M872" s="9">
        <v>0.05</v>
      </c>
      <c r="O872" s="7" t="s">
        <v>19</v>
      </c>
      <c r="P872" s="3">
        <f t="shared" si="194"/>
        <v>0</v>
      </c>
      <c r="Q872" s="7" t="s">
        <v>19</v>
      </c>
      <c r="R872" s="8">
        <f t="shared" si="195"/>
        <v>0</v>
      </c>
      <c r="S872" s="8">
        <f t="shared" si="188"/>
        <v>0</v>
      </c>
    </row>
    <row r="874" spans="1:19" s="19" customFormat="1">
      <c r="A874" s="31" t="s">
        <v>572</v>
      </c>
      <c r="B874" s="32" t="s">
        <v>25</v>
      </c>
      <c r="C874" s="33"/>
      <c r="D874" s="34" t="s">
        <v>41</v>
      </c>
      <c r="E874" s="35">
        <v>21</v>
      </c>
      <c r="F874" s="36">
        <v>1</v>
      </c>
      <c r="G874" s="37" t="s">
        <v>20</v>
      </c>
      <c r="H874" s="36">
        <v>20</v>
      </c>
      <c r="I874" s="37" t="s">
        <v>41</v>
      </c>
      <c r="J874" s="38">
        <f>1860000/20</f>
        <v>93000</v>
      </c>
      <c r="K874" s="34" t="s">
        <v>41</v>
      </c>
      <c r="L874" s="39"/>
      <c r="M874" s="39">
        <v>0.17</v>
      </c>
      <c r="N874" s="36"/>
      <c r="O874" s="37" t="s">
        <v>41</v>
      </c>
      <c r="P874" s="33">
        <f t="shared" ref="P874:P892" si="196">(C874+(E874*F874*H874))-N874</f>
        <v>420</v>
      </c>
      <c r="Q874" s="37" t="s">
        <v>41</v>
      </c>
      <c r="R874" s="38">
        <f t="shared" ref="R874:R892" si="197">P874*(J874-(J874*L874)-((J874-(J874*L874))*M874))</f>
        <v>32419800</v>
      </c>
      <c r="S874" s="38">
        <f t="shared" si="188"/>
        <v>29207027.027027026</v>
      </c>
    </row>
    <row r="875" spans="1:19">
      <c r="A875" s="31" t="s">
        <v>573</v>
      </c>
      <c r="B875" s="32" t="s">
        <v>25</v>
      </c>
      <c r="C875" s="33"/>
      <c r="D875" s="34" t="s">
        <v>41</v>
      </c>
      <c r="E875" s="35"/>
      <c r="F875" s="36">
        <v>1</v>
      </c>
      <c r="G875" s="37" t="s">
        <v>20</v>
      </c>
      <c r="H875" s="36">
        <v>20</v>
      </c>
      <c r="I875" s="37" t="s">
        <v>41</v>
      </c>
      <c r="J875" s="38">
        <f>1740000/20</f>
        <v>87000</v>
      </c>
      <c r="K875" s="34" t="s">
        <v>41</v>
      </c>
      <c r="L875" s="39"/>
      <c r="M875" s="39">
        <v>0.17</v>
      </c>
      <c r="N875" s="36"/>
      <c r="O875" s="37" t="s">
        <v>41</v>
      </c>
      <c r="P875" s="33">
        <f t="shared" si="196"/>
        <v>0</v>
      </c>
      <c r="Q875" s="37" t="s">
        <v>41</v>
      </c>
      <c r="R875" s="38">
        <f t="shared" si="197"/>
        <v>0</v>
      </c>
      <c r="S875" s="38">
        <f t="shared" si="188"/>
        <v>0</v>
      </c>
    </row>
    <row r="876" spans="1:19" s="19" customFormat="1">
      <c r="A876" s="31" t="s">
        <v>574</v>
      </c>
      <c r="B876" s="32" t="s">
        <v>25</v>
      </c>
      <c r="C876" s="33"/>
      <c r="D876" s="34" t="s">
        <v>41</v>
      </c>
      <c r="E876" s="35"/>
      <c r="F876" s="36">
        <v>1</v>
      </c>
      <c r="G876" s="37" t="s">
        <v>20</v>
      </c>
      <c r="H876" s="36">
        <v>20</v>
      </c>
      <c r="I876" s="37" t="s">
        <v>41</v>
      </c>
      <c r="J876" s="38">
        <f>1740000/20</f>
        <v>87000</v>
      </c>
      <c r="K876" s="34" t="s">
        <v>41</v>
      </c>
      <c r="L876" s="39"/>
      <c r="M876" s="39">
        <v>0.17</v>
      </c>
      <c r="N876" s="36"/>
      <c r="O876" s="37" t="s">
        <v>41</v>
      </c>
      <c r="P876" s="33">
        <f t="shared" si="196"/>
        <v>0</v>
      </c>
      <c r="Q876" s="37" t="s">
        <v>41</v>
      </c>
      <c r="R876" s="38">
        <f t="shared" si="197"/>
        <v>0</v>
      </c>
      <c r="S876" s="38">
        <f t="shared" si="188"/>
        <v>0</v>
      </c>
    </row>
    <row r="877" spans="1:19" s="19" customFormat="1">
      <c r="A877" s="47" t="s">
        <v>575</v>
      </c>
      <c r="B877" s="48" t="s">
        <v>25</v>
      </c>
      <c r="C877" s="49"/>
      <c r="D877" s="50" t="s">
        <v>41</v>
      </c>
      <c r="E877" s="51">
        <v>5</v>
      </c>
      <c r="F877" s="52">
        <v>1</v>
      </c>
      <c r="G877" s="53" t="s">
        <v>20</v>
      </c>
      <c r="H877" s="52">
        <v>20</v>
      </c>
      <c r="I877" s="53" t="s">
        <v>41</v>
      </c>
      <c r="J877" s="54">
        <f>2352000/20</f>
        <v>117600</v>
      </c>
      <c r="K877" s="50" t="s">
        <v>41</v>
      </c>
      <c r="L877" s="55"/>
      <c r="M877" s="55">
        <v>0.17</v>
      </c>
      <c r="N877" s="52"/>
      <c r="O877" s="81" t="s">
        <v>41</v>
      </c>
      <c r="P877" s="49">
        <f t="shared" si="196"/>
        <v>100</v>
      </c>
      <c r="Q877" s="53" t="s">
        <v>41</v>
      </c>
      <c r="R877" s="54">
        <f t="shared" si="197"/>
        <v>9760800</v>
      </c>
      <c r="S877" s="54">
        <f t="shared" si="188"/>
        <v>8793513.5135135129</v>
      </c>
    </row>
    <row r="878" spans="1:19" s="19" customFormat="1">
      <c r="A878" s="47" t="s">
        <v>659</v>
      </c>
      <c r="B878" s="48" t="s">
        <v>25</v>
      </c>
      <c r="C878" s="49"/>
      <c r="D878" s="50" t="s">
        <v>41</v>
      </c>
      <c r="E878" s="51"/>
      <c r="F878" s="52">
        <v>1</v>
      </c>
      <c r="G878" s="53" t="s">
        <v>20</v>
      </c>
      <c r="H878" s="52">
        <v>20</v>
      </c>
      <c r="I878" s="53" t="s">
        <v>41</v>
      </c>
      <c r="J878" s="54">
        <f>2352000/20</f>
        <v>117600</v>
      </c>
      <c r="K878" s="50" t="s">
        <v>41</v>
      </c>
      <c r="L878" s="55"/>
      <c r="M878" s="55">
        <v>0.17</v>
      </c>
      <c r="N878" s="52"/>
      <c r="O878" s="82" t="s">
        <v>41</v>
      </c>
      <c r="P878" s="49">
        <f t="shared" si="196"/>
        <v>0</v>
      </c>
      <c r="Q878" s="53" t="s">
        <v>41</v>
      </c>
      <c r="R878" s="54">
        <f t="shared" si="197"/>
        <v>0</v>
      </c>
      <c r="S878" s="54">
        <f t="shared" si="188"/>
        <v>0</v>
      </c>
    </row>
    <row r="879" spans="1:19" s="19" customFormat="1">
      <c r="A879" s="47" t="s">
        <v>576</v>
      </c>
      <c r="B879" s="48" t="s">
        <v>25</v>
      </c>
      <c r="C879" s="49"/>
      <c r="D879" s="50" t="s">
        <v>41</v>
      </c>
      <c r="E879" s="51"/>
      <c r="F879" s="52">
        <v>1</v>
      </c>
      <c r="G879" s="53" t="s">
        <v>20</v>
      </c>
      <c r="H879" s="52">
        <v>20</v>
      </c>
      <c r="I879" s="53" t="s">
        <v>41</v>
      </c>
      <c r="J879" s="54">
        <f>2352000/20</f>
        <v>117600</v>
      </c>
      <c r="K879" s="50" t="s">
        <v>41</v>
      </c>
      <c r="L879" s="55"/>
      <c r="M879" s="55">
        <v>0.17</v>
      </c>
      <c r="N879" s="52"/>
      <c r="O879" s="53" t="s">
        <v>41</v>
      </c>
      <c r="P879" s="49">
        <f t="shared" si="196"/>
        <v>0</v>
      </c>
      <c r="Q879" s="53" t="s">
        <v>41</v>
      </c>
      <c r="R879" s="54">
        <f t="shared" si="197"/>
        <v>0</v>
      </c>
      <c r="S879" s="54">
        <f t="shared" si="188"/>
        <v>0</v>
      </c>
    </row>
    <row r="880" spans="1:19" s="19" customFormat="1">
      <c r="A880" s="18" t="s">
        <v>810</v>
      </c>
      <c r="B880" s="19" t="s">
        <v>25</v>
      </c>
      <c r="C880" s="20"/>
      <c r="D880" s="21" t="s">
        <v>41</v>
      </c>
      <c r="E880" s="26"/>
      <c r="F880" s="22">
        <v>1</v>
      </c>
      <c r="G880" s="23" t="s">
        <v>20</v>
      </c>
      <c r="H880" s="22">
        <v>10</v>
      </c>
      <c r="I880" s="23" t="s">
        <v>41</v>
      </c>
      <c r="J880" s="24">
        <f>2400000/10</f>
        <v>240000</v>
      </c>
      <c r="K880" s="21" t="s">
        <v>41</v>
      </c>
      <c r="L880" s="25"/>
      <c r="M880" s="25">
        <v>0.17</v>
      </c>
      <c r="N880" s="22"/>
      <c r="O880" s="56" t="s">
        <v>41</v>
      </c>
      <c r="P880" s="20">
        <f t="shared" si="196"/>
        <v>0</v>
      </c>
      <c r="Q880" s="23" t="s">
        <v>41</v>
      </c>
      <c r="R880" s="24">
        <f t="shared" si="197"/>
        <v>0</v>
      </c>
      <c r="S880" s="24">
        <f t="shared" si="188"/>
        <v>0</v>
      </c>
    </row>
    <row r="881" spans="1:19">
      <c r="A881" s="17" t="s">
        <v>577</v>
      </c>
      <c r="B881" s="2" t="s">
        <v>25</v>
      </c>
      <c r="D881" s="4" t="s">
        <v>41</v>
      </c>
      <c r="F881" s="6">
        <v>1</v>
      </c>
      <c r="G881" s="7" t="s">
        <v>20</v>
      </c>
      <c r="H881" s="6">
        <v>40</v>
      </c>
      <c r="I881" s="7" t="s">
        <v>41</v>
      </c>
      <c r="J881" s="8">
        <f>2688000/40</f>
        <v>67200</v>
      </c>
      <c r="K881" s="4" t="s">
        <v>41</v>
      </c>
      <c r="M881" s="9">
        <v>0.17</v>
      </c>
      <c r="O881" s="7" t="s">
        <v>41</v>
      </c>
      <c r="P881" s="3">
        <f t="shared" si="196"/>
        <v>0</v>
      </c>
      <c r="Q881" s="7" t="s">
        <v>41</v>
      </c>
      <c r="R881" s="8">
        <f t="shared" si="197"/>
        <v>0</v>
      </c>
      <c r="S881" s="8">
        <f t="shared" si="188"/>
        <v>0</v>
      </c>
    </row>
    <row r="882" spans="1:19">
      <c r="A882" s="17" t="s">
        <v>578</v>
      </c>
      <c r="B882" s="2" t="s">
        <v>25</v>
      </c>
      <c r="D882" s="4" t="s">
        <v>41</v>
      </c>
      <c r="F882" s="6">
        <v>1</v>
      </c>
      <c r="G882" s="7" t="s">
        <v>20</v>
      </c>
      <c r="H882" s="6">
        <v>20</v>
      </c>
      <c r="I882" s="7" t="s">
        <v>41</v>
      </c>
      <c r="J882" s="8">
        <v>120000</v>
      </c>
      <c r="K882" s="4" t="s">
        <v>41</v>
      </c>
      <c r="M882" s="9">
        <v>0.17</v>
      </c>
      <c r="O882" s="7" t="s">
        <v>41</v>
      </c>
      <c r="P882" s="3">
        <f t="shared" si="196"/>
        <v>0</v>
      </c>
      <c r="Q882" s="7" t="s">
        <v>41</v>
      </c>
      <c r="R882" s="8">
        <f t="shared" si="197"/>
        <v>0</v>
      </c>
      <c r="S882" s="8">
        <f t="shared" si="188"/>
        <v>0</v>
      </c>
    </row>
    <row r="883" spans="1:19" s="19" customFormat="1">
      <c r="A883" s="18" t="s">
        <v>579</v>
      </c>
      <c r="B883" s="19" t="s">
        <v>25</v>
      </c>
      <c r="C883" s="20"/>
      <c r="D883" s="21" t="s">
        <v>41</v>
      </c>
      <c r="E883" s="26"/>
      <c r="F883" s="22">
        <v>1</v>
      </c>
      <c r="G883" s="23" t="s">
        <v>20</v>
      </c>
      <c r="H883" s="22">
        <v>25</v>
      </c>
      <c r="I883" s="23" t="s">
        <v>41</v>
      </c>
      <c r="J883" s="24">
        <f>1740000/25</f>
        <v>69600</v>
      </c>
      <c r="K883" s="21" t="s">
        <v>41</v>
      </c>
      <c r="L883" s="25"/>
      <c r="M883" s="25">
        <v>0.17</v>
      </c>
      <c r="N883" s="22"/>
      <c r="O883" s="23" t="s">
        <v>41</v>
      </c>
      <c r="P883" s="20">
        <f t="shared" si="196"/>
        <v>0</v>
      </c>
      <c r="Q883" s="23" t="s">
        <v>41</v>
      </c>
      <c r="R883" s="24">
        <f t="shared" si="197"/>
        <v>0</v>
      </c>
      <c r="S883" s="24">
        <f t="shared" si="188"/>
        <v>0</v>
      </c>
    </row>
    <row r="884" spans="1:19" s="19" customFormat="1">
      <c r="A884" s="18" t="s">
        <v>580</v>
      </c>
      <c r="B884" s="19" t="s">
        <v>25</v>
      </c>
      <c r="C884" s="20"/>
      <c r="D884" s="21" t="s">
        <v>41</v>
      </c>
      <c r="E884" s="26"/>
      <c r="F884" s="22">
        <v>1</v>
      </c>
      <c r="G884" s="23" t="s">
        <v>20</v>
      </c>
      <c r="H884" s="22">
        <v>10</v>
      </c>
      <c r="I884" s="23" t="s">
        <v>41</v>
      </c>
      <c r="J884" s="24">
        <f>2280000/10</f>
        <v>228000</v>
      </c>
      <c r="K884" s="21" t="s">
        <v>41</v>
      </c>
      <c r="L884" s="25"/>
      <c r="M884" s="25">
        <v>0.17</v>
      </c>
      <c r="N884" s="22"/>
      <c r="O884" s="23" t="s">
        <v>41</v>
      </c>
      <c r="P884" s="20">
        <f t="shared" si="196"/>
        <v>0</v>
      </c>
      <c r="Q884" s="23" t="s">
        <v>41</v>
      </c>
      <c r="R884" s="24">
        <f t="shared" si="197"/>
        <v>0</v>
      </c>
      <c r="S884" s="8">
        <f t="shared" si="188"/>
        <v>0</v>
      </c>
    </row>
    <row r="885" spans="1:19" s="19" customFormat="1">
      <c r="A885" s="31" t="s">
        <v>581</v>
      </c>
      <c r="B885" s="32" t="s">
        <v>25</v>
      </c>
      <c r="C885" s="33"/>
      <c r="D885" s="34" t="s">
        <v>41</v>
      </c>
      <c r="E885" s="35">
        <v>8</v>
      </c>
      <c r="F885" s="36">
        <v>1</v>
      </c>
      <c r="G885" s="37" t="s">
        <v>20</v>
      </c>
      <c r="H885" s="36">
        <v>10</v>
      </c>
      <c r="I885" s="37" t="s">
        <v>41</v>
      </c>
      <c r="J885" s="38">
        <f>2280000/10</f>
        <v>228000</v>
      </c>
      <c r="K885" s="34" t="s">
        <v>41</v>
      </c>
      <c r="L885" s="39"/>
      <c r="M885" s="39">
        <v>0.17</v>
      </c>
      <c r="N885" s="36"/>
      <c r="O885" s="83" t="s">
        <v>41</v>
      </c>
      <c r="P885" s="33">
        <f t="shared" si="196"/>
        <v>80</v>
      </c>
      <c r="Q885" s="37" t="s">
        <v>41</v>
      </c>
      <c r="R885" s="38">
        <f t="shared" si="197"/>
        <v>15139200</v>
      </c>
      <c r="S885" s="38">
        <f t="shared" si="188"/>
        <v>13638918.918918917</v>
      </c>
    </row>
    <row r="886" spans="1:19" s="19" customFormat="1">
      <c r="A886" s="31" t="s">
        <v>582</v>
      </c>
      <c r="B886" s="32" t="s">
        <v>25</v>
      </c>
      <c r="C886" s="33"/>
      <c r="D886" s="34" t="s">
        <v>41</v>
      </c>
      <c r="E886" s="35"/>
      <c r="F886" s="36">
        <v>1</v>
      </c>
      <c r="G886" s="37" t="s">
        <v>20</v>
      </c>
      <c r="H886" s="36">
        <v>10</v>
      </c>
      <c r="I886" s="37" t="s">
        <v>41</v>
      </c>
      <c r="J886" s="38">
        <f>2040000/10</f>
        <v>204000</v>
      </c>
      <c r="K886" s="34" t="s">
        <v>41</v>
      </c>
      <c r="L886" s="39"/>
      <c r="M886" s="39">
        <v>0.17</v>
      </c>
      <c r="N886" s="36"/>
      <c r="O886" s="37" t="s">
        <v>41</v>
      </c>
      <c r="P886" s="33">
        <f t="shared" si="196"/>
        <v>0</v>
      </c>
      <c r="Q886" s="37" t="s">
        <v>41</v>
      </c>
      <c r="R886" s="38">
        <f t="shared" si="197"/>
        <v>0</v>
      </c>
      <c r="S886" s="38">
        <f t="shared" si="188"/>
        <v>0</v>
      </c>
    </row>
    <row r="887" spans="1:19" s="19" customFormat="1">
      <c r="A887" s="31" t="s">
        <v>583</v>
      </c>
      <c r="B887" s="32" t="s">
        <v>25</v>
      </c>
      <c r="C887" s="33"/>
      <c r="D887" s="34" t="s">
        <v>41</v>
      </c>
      <c r="E887" s="35"/>
      <c r="F887" s="36">
        <v>1</v>
      </c>
      <c r="G887" s="37" t="s">
        <v>20</v>
      </c>
      <c r="H887" s="36">
        <v>10</v>
      </c>
      <c r="I887" s="37" t="s">
        <v>41</v>
      </c>
      <c r="J887" s="38">
        <f>2040000/10</f>
        <v>204000</v>
      </c>
      <c r="K887" s="34" t="s">
        <v>41</v>
      </c>
      <c r="L887" s="39"/>
      <c r="M887" s="39">
        <v>0.17</v>
      </c>
      <c r="N887" s="36"/>
      <c r="O887" s="37" t="s">
        <v>41</v>
      </c>
      <c r="P887" s="33">
        <f t="shared" si="196"/>
        <v>0</v>
      </c>
      <c r="Q887" s="37" t="s">
        <v>41</v>
      </c>
      <c r="R887" s="38">
        <f t="shared" si="197"/>
        <v>0</v>
      </c>
      <c r="S887" s="38">
        <f t="shared" si="188"/>
        <v>0</v>
      </c>
    </row>
    <row r="888" spans="1:19">
      <c r="A888" s="17" t="s">
        <v>584</v>
      </c>
      <c r="B888" s="2" t="s">
        <v>25</v>
      </c>
      <c r="D888" s="4" t="s">
        <v>19</v>
      </c>
      <c r="F888" s="6">
        <v>20</v>
      </c>
      <c r="G888" s="7" t="s">
        <v>33</v>
      </c>
      <c r="H888" s="6">
        <v>6</v>
      </c>
      <c r="I888" s="7" t="s">
        <v>19</v>
      </c>
      <c r="J888" s="8">
        <v>14500</v>
      </c>
      <c r="K888" s="4" t="s">
        <v>19</v>
      </c>
      <c r="M888" s="9">
        <v>0.17</v>
      </c>
      <c r="O888" s="7" t="s">
        <v>19</v>
      </c>
      <c r="P888" s="3">
        <f t="shared" si="196"/>
        <v>0</v>
      </c>
      <c r="Q888" s="7" t="s">
        <v>19</v>
      </c>
      <c r="R888" s="8">
        <f t="shared" si="197"/>
        <v>0</v>
      </c>
      <c r="S888" s="8">
        <f t="shared" si="188"/>
        <v>0</v>
      </c>
    </row>
    <row r="889" spans="1:19" s="19" customFormat="1">
      <c r="A889" s="18" t="s">
        <v>585</v>
      </c>
      <c r="B889" s="19" t="s">
        <v>25</v>
      </c>
      <c r="C889" s="20"/>
      <c r="D889" s="21" t="s">
        <v>19</v>
      </c>
      <c r="E889" s="26">
        <v>1</v>
      </c>
      <c r="F889" s="22">
        <v>1</v>
      </c>
      <c r="G889" s="23" t="s">
        <v>20</v>
      </c>
      <c r="H889" s="22">
        <v>6</v>
      </c>
      <c r="I889" s="23" t="s">
        <v>19</v>
      </c>
      <c r="J889" s="24">
        <f>2160000/6</f>
        <v>360000</v>
      </c>
      <c r="K889" s="21" t="s">
        <v>19</v>
      </c>
      <c r="L889" s="25"/>
      <c r="M889" s="25">
        <v>0.17</v>
      </c>
      <c r="N889" s="22"/>
      <c r="O889" s="23" t="s">
        <v>19</v>
      </c>
      <c r="P889" s="20">
        <f t="shared" si="196"/>
        <v>6</v>
      </c>
      <c r="Q889" s="23" t="s">
        <v>19</v>
      </c>
      <c r="R889" s="24">
        <f t="shared" si="197"/>
        <v>1792800</v>
      </c>
      <c r="S889" s="24">
        <f t="shared" si="188"/>
        <v>1615135.1351351349</v>
      </c>
    </row>
    <row r="890" spans="1:19" s="19" customFormat="1">
      <c r="A890" s="18" t="s">
        <v>586</v>
      </c>
      <c r="B890" s="19" t="s">
        <v>25</v>
      </c>
      <c r="C890" s="20"/>
      <c r="D890" s="21" t="s">
        <v>19</v>
      </c>
      <c r="E890" s="26"/>
      <c r="F890" s="22">
        <v>1</v>
      </c>
      <c r="G890" s="23" t="s">
        <v>20</v>
      </c>
      <c r="H890" s="22">
        <v>6</v>
      </c>
      <c r="I890" s="23" t="s">
        <v>19</v>
      </c>
      <c r="J890" s="24">
        <f>930000/6</f>
        <v>155000</v>
      </c>
      <c r="K890" s="21" t="s">
        <v>19</v>
      </c>
      <c r="L890" s="25"/>
      <c r="M890" s="25">
        <v>0.17</v>
      </c>
      <c r="N890" s="22"/>
      <c r="O890" s="23" t="s">
        <v>19</v>
      </c>
      <c r="P890" s="20">
        <f t="shared" si="196"/>
        <v>0</v>
      </c>
      <c r="Q890" s="23" t="s">
        <v>19</v>
      </c>
      <c r="R890" s="24">
        <f t="shared" si="197"/>
        <v>0</v>
      </c>
      <c r="S890" s="24">
        <f t="shared" si="188"/>
        <v>0</v>
      </c>
    </row>
    <row r="891" spans="1:19" s="19" customFormat="1">
      <c r="A891" s="18" t="s">
        <v>587</v>
      </c>
      <c r="B891" s="19" t="s">
        <v>25</v>
      </c>
      <c r="C891" s="20"/>
      <c r="D891" s="21" t="s">
        <v>19</v>
      </c>
      <c r="E891" s="26">
        <v>1</v>
      </c>
      <c r="F891" s="22">
        <v>1</v>
      </c>
      <c r="G891" s="23" t="s">
        <v>20</v>
      </c>
      <c r="H891" s="22">
        <v>6</v>
      </c>
      <c r="I891" s="23" t="s">
        <v>19</v>
      </c>
      <c r="J891" s="24">
        <f>504000/6</f>
        <v>84000</v>
      </c>
      <c r="K891" s="21" t="s">
        <v>19</v>
      </c>
      <c r="L891" s="25"/>
      <c r="M891" s="25">
        <v>0.17</v>
      </c>
      <c r="N891" s="22"/>
      <c r="O891" s="23" t="s">
        <v>19</v>
      </c>
      <c r="P891" s="20">
        <f t="shared" si="196"/>
        <v>6</v>
      </c>
      <c r="Q891" s="23" t="s">
        <v>19</v>
      </c>
      <c r="R891" s="24">
        <f t="shared" si="197"/>
        <v>418320</v>
      </c>
      <c r="S891" s="24">
        <f t="shared" ref="S891:S900" si="198">R891/1.11</f>
        <v>376864.86486486485</v>
      </c>
    </row>
    <row r="892" spans="1:19">
      <c r="A892" s="17" t="s">
        <v>588</v>
      </c>
      <c r="B892" s="2" t="s">
        <v>25</v>
      </c>
      <c r="D892" s="4" t="s">
        <v>19</v>
      </c>
      <c r="F892" s="6">
        <v>1</v>
      </c>
      <c r="G892" s="7" t="s">
        <v>20</v>
      </c>
      <c r="H892" s="6">
        <v>6</v>
      </c>
      <c r="I892" s="7" t="s">
        <v>19</v>
      </c>
      <c r="J892" s="8">
        <f>990000/6</f>
        <v>165000</v>
      </c>
      <c r="K892" s="4" t="s">
        <v>19</v>
      </c>
      <c r="M892" s="9">
        <v>0.17</v>
      </c>
      <c r="O892" s="7" t="s">
        <v>19</v>
      </c>
      <c r="P892" s="3">
        <f t="shared" si="196"/>
        <v>0</v>
      </c>
      <c r="Q892" s="7" t="s">
        <v>19</v>
      </c>
      <c r="R892" s="8">
        <f t="shared" si="197"/>
        <v>0</v>
      </c>
      <c r="S892" s="8">
        <f t="shared" si="198"/>
        <v>0</v>
      </c>
    </row>
    <row r="894" spans="1:19">
      <c r="A894" s="73" t="s">
        <v>589</v>
      </c>
      <c r="B894" s="2" t="s">
        <v>590</v>
      </c>
      <c r="D894" s="4" t="s">
        <v>41</v>
      </c>
      <c r="F894" s="6">
        <v>1</v>
      </c>
      <c r="G894" s="7" t="s">
        <v>20</v>
      </c>
      <c r="H894" s="6">
        <v>30</v>
      </c>
      <c r="I894" s="7" t="s">
        <v>41</v>
      </c>
      <c r="J894" s="8">
        <v>130000</v>
      </c>
      <c r="K894" s="4" t="s">
        <v>41</v>
      </c>
      <c r="L894" s="9">
        <v>0.17499999999999999</v>
      </c>
      <c r="M894" s="9">
        <v>0.03</v>
      </c>
      <c r="O894" s="7" t="s">
        <v>41</v>
      </c>
      <c r="P894" s="3">
        <f>(C894+(E894*F894*H894))-N894</f>
        <v>0</v>
      </c>
      <c r="Q894" s="7" t="s">
        <v>41</v>
      </c>
      <c r="R894" s="8">
        <f>P894*(J894-(J894*L894)-((J894-(J894*L894))*M894))</f>
        <v>0</v>
      </c>
      <c r="S894" s="8">
        <f t="shared" si="198"/>
        <v>0</v>
      </c>
    </row>
    <row r="895" spans="1:19">
      <c r="A895" s="73" t="s">
        <v>591</v>
      </c>
      <c r="B895" s="2" t="s">
        <v>590</v>
      </c>
      <c r="D895" s="4" t="s">
        <v>41</v>
      </c>
      <c r="F895" s="6">
        <v>1</v>
      </c>
      <c r="G895" s="7" t="s">
        <v>20</v>
      </c>
      <c r="H895" s="6">
        <v>30</v>
      </c>
      <c r="I895" s="7" t="s">
        <v>41</v>
      </c>
      <c r="J895" s="8">
        <v>216000</v>
      </c>
      <c r="K895" s="4" t="s">
        <v>41</v>
      </c>
      <c r="M895" s="9">
        <v>0.15</v>
      </c>
      <c r="O895" s="7" t="s">
        <v>41</v>
      </c>
      <c r="P895" s="3">
        <f>(C895+(E895*F895*H895))-N895</f>
        <v>0</v>
      </c>
      <c r="Q895" s="7" t="s">
        <v>41</v>
      </c>
      <c r="R895" s="8">
        <f>P895*(J895-(J895*L895)-((J895-(J895*L895))*M895))</f>
        <v>0</v>
      </c>
      <c r="S895" s="8">
        <f t="shared" si="198"/>
        <v>0</v>
      </c>
    </row>
    <row r="896" spans="1:19">
      <c r="A896" s="73" t="s">
        <v>592</v>
      </c>
      <c r="B896" s="2" t="s">
        <v>590</v>
      </c>
      <c r="D896" s="4" t="s">
        <v>41</v>
      </c>
      <c r="F896" s="6">
        <v>1</v>
      </c>
      <c r="G896" s="7" t="s">
        <v>20</v>
      </c>
      <c r="H896" s="6">
        <v>30</v>
      </c>
      <c r="I896" s="7" t="s">
        <v>41</v>
      </c>
      <c r="J896" s="8">
        <v>216000</v>
      </c>
      <c r="K896" s="4" t="s">
        <v>41</v>
      </c>
      <c r="M896" s="9">
        <v>0.15</v>
      </c>
      <c r="O896" s="7" t="s">
        <v>41</v>
      </c>
      <c r="P896" s="3">
        <f>(C896+(E896*F896*H896))-N896</f>
        <v>0</v>
      </c>
      <c r="Q896" s="7" t="s">
        <v>41</v>
      </c>
      <c r="R896" s="8">
        <f>P896*(J896-(J896*L896)-((J896-(J896*L896))*M896))</f>
        <v>0</v>
      </c>
      <c r="S896" s="8">
        <f t="shared" si="198"/>
        <v>0</v>
      </c>
    </row>
    <row r="897" spans="1:19">
      <c r="A897" s="73" t="s">
        <v>593</v>
      </c>
      <c r="B897" s="2" t="s">
        <v>590</v>
      </c>
      <c r="D897" s="4" t="s">
        <v>41</v>
      </c>
      <c r="F897" s="6">
        <v>1</v>
      </c>
      <c r="G897" s="7" t="s">
        <v>20</v>
      </c>
      <c r="H897" s="6">
        <v>30</v>
      </c>
      <c r="I897" s="7" t="s">
        <v>41</v>
      </c>
      <c r="J897" s="8">
        <v>220000</v>
      </c>
      <c r="K897" s="4" t="s">
        <v>41</v>
      </c>
      <c r="M897" s="9">
        <v>0.15</v>
      </c>
      <c r="O897" s="7" t="s">
        <v>41</v>
      </c>
      <c r="P897" s="3">
        <f>(C897+(E897*F897*H897))-N897</f>
        <v>0</v>
      </c>
      <c r="Q897" s="7" t="s">
        <v>41</v>
      </c>
      <c r="R897" s="8">
        <f>P897*(J897-(J897*L897)-((J897-(J897*L897))*M897))</f>
        <v>0</v>
      </c>
      <c r="S897" s="8">
        <f t="shared" si="198"/>
        <v>0</v>
      </c>
    </row>
    <row r="898" spans="1:19">
      <c r="A898" s="73" t="s">
        <v>594</v>
      </c>
      <c r="B898" s="2" t="s">
        <v>590</v>
      </c>
      <c r="D898" s="4" t="s">
        <v>41</v>
      </c>
      <c r="F898" s="6">
        <v>1</v>
      </c>
      <c r="G898" s="7" t="s">
        <v>20</v>
      </c>
      <c r="H898" s="6">
        <v>20</v>
      </c>
      <c r="I898" s="7" t="s">
        <v>41</v>
      </c>
      <c r="J898" s="8">
        <v>285600</v>
      </c>
      <c r="K898" s="4" t="s">
        <v>41</v>
      </c>
      <c r="L898" s="9">
        <v>0.17499999999999999</v>
      </c>
      <c r="M898" s="9">
        <v>0.03</v>
      </c>
      <c r="O898" s="7" t="s">
        <v>41</v>
      </c>
      <c r="P898" s="3">
        <f>(C898+(E898*F898*H898))-N898</f>
        <v>0</v>
      </c>
      <c r="Q898" s="7" t="s">
        <v>41</v>
      </c>
      <c r="R898" s="8">
        <f>P898*(J898-(J898*L898)-((J898-(J898*L898))*M898))</f>
        <v>0</v>
      </c>
      <c r="S898" s="8">
        <f t="shared" si="198"/>
        <v>0</v>
      </c>
    </row>
    <row r="899" spans="1:19">
      <c r="A899" s="73"/>
    </row>
    <row r="900" spans="1:19">
      <c r="A900" s="73" t="s">
        <v>595</v>
      </c>
      <c r="B900" s="19" t="s">
        <v>187</v>
      </c>
      <c r="D900" s="4" t="s">
        <v>41</v>
      </c>
      <c r="F900" s="6">
        <v>1</v>
      </c>
      <c r="G900" s="7" t="s">
        <v>20</v>
      </c>
      <c r="H900" s="6">
        <v>5</v>
      </c>
      <c r="I900" s="7" t="s">
        <v>41</v>
      </c>
      <c r="J900" s="8">
        <v>250000</v>
      </c>
      <c r="K900" s="4" t="s">
        <v>41</v>
      </c>
      <c r="O900" s="84" t="s">
        <v>41</v>
      </c>
      <c r="P900" s="3">
        <f>(C900+(E900*F900*H900))-N900</f>
        <v>0</v>
      </c>
      <c r="Q900" s="7" t="s">
        <v>41</v>
      </c>
      <c r="R900" s="8">
        <f>P900*(J900-(J900*L900)-((J900-(J900*L900))*M900))</f>
        <v>0</v>
      </c>
      <c r="S900" s="8">
        <f t="shared" si="198"/>
        <v>0</v>
      </c>
    </row>
    <row r="901" spans="1:19">
      <c r="A901" s="73"/>
      <c r="B901" s="19"/>
      <c r="O901" s="84"/>
    </row>
    <row r="902" spans="1:19">
      <c r="A902" s="15" t="s">
        <v>596</v>
      </c>
    </row>
    <row r="903" spans="1:19" s="19" customFormat="1">
      <c r="A903" s="18" t="s">
        <v>598</v>
      </c>
      <c r="B903" s="19" t="s">
        <v>590</v>
      </c>
      <c r="C903" s="20"/>
      <c r="D903" s="21" t="s">
        <v>100</v>
      </c>
      <c r="E903" s="26">
        <v>30</v>
      </c>
      <c r="F903" s="22">
        <v>1</v>
      </c>
      <c r="G903" s="23" t="s">
        <v>20</v>
      </c>
      <c r="H903" s="22">
        <v>100</v>
      </c>
      <c r="I903" s="23" t="s">
        <v>100</v>
      </c>
      <c r="J903" s="24">
        <v>14000</v>
      </c>
      <c r="K903" s="21" t="s">
        <v>100</v>
      </c>
      <c r="L903" s="25">
        <v>0.1</v>
      </c>
      <c r="M903" s="25"/>
      <c r="N903" s="22"/>
      <c r="O903" s="23" t="s">
        <v>100</v>
      </c>
      <c r="P903" s="20">
        <f>(C903+(E903*F903*H903))-N903</f>
        <v>3000</v>
      </c>
      <c r="Q903" s="23" t="s">
        <v>100</v>
      </c>
      <c r="R903" s="24">
        <f>P903*(J903-(J903*L903)-((J903-(J903*L903))*M903))</f>
        <v>37800000</v>
      </c>
      <c r="S903" s="24">
        <f t="shared" ref="S903:S999" si="199">R903/1.11</f>
        <v>34054054.054054052</v>
      </c>
    </row>
    <row r="904" spans="1:19" s="19" customFormat="1">
      <c r="A904" s="18" t="s">
        <v>599</v>
      </c>
      <c r="B904" s="19" t="s">
        <v>590</v>
      </c>
      <c r="C904" s="20"/>
      <c r="D904" s="21" t="s">
        <v>100</v>
      </c>
      <c r="E904" s="26">
        <v>5</v>
      </c>
      <c r="F904" s="22">
        <v>1</v>
      </c>
      <c r="G904" s="23" t="s">
        <v>20</v>
      </c>
      <c r="H904" s="22">
        <v>50</v>
      </c>
      <c r="I904" s="23" t="s">
        <v>100</v>
      </c>
      <c r="J904" s="24">
        <v>24000</v>
      </c>
      <c r="K904" s="21" t="s">
        <v>100</v>
      </c>
      <c r="L904" s="25"/>
      <c r="M904" s="25"/>
      <c r="N904" s="22"/>
      <c r="O904" s="23" t="s">
        <v>100</v>
      </c>
      <c r="P904" s="20">
        <f>(C904+(E904*F904*H904))-N904</f>
        <v>250</v>
      </c>
      <c r="Q904" s="23" t="s">
        <v>100</v>
      </c>
      <c r="R904" s="24">
        <f>P904*(J904-(J904*L904)-((J904-(J904*L904))*M904))</f>
        <v>6000000</v>
      </c>
      <c r="S904" s="24">
        <f t="shared" si="199"/>
        <v>5405405.405405405</v>
      </c>
    </row>
    <row r="905" spans="1:19" s="19" customFormat="1">
      <c r="A905" s="18"/>
      <c r="C905" s="20"/>
      <c r="D905" s="21"/>
      <c r="E905" s="26"/>
      <c r="F905" s="22"/>
      <c r="G905" s="23"/>
      <c r="H905" s="22"/>
      <c r="I905" s="23"/>
      <c r="J905" s="24"/>
      <c r="K905" s="21"/>
      <c r="L905" s="25"/>
      <c r="M905" s="25"/>
      <c r="N905" s="22"/>
      <c r="O905" s="23"/>
      <c r="P905" s="20"/>
      <c r="Q905" s="23"/>
      <c r="R905" s="24"/>
      <c r="S905" s="24"/>
    </row>
    <row r="906" spans="1:19">
      <c r="A906" s="17" t="s">
        <v>597</v>
      </c>
      <c r="B906" s="2" t="s">
        <v>18</v>
      </c>
      <c r="D906" s="4" t="s">
        <v>33</v>
      </c>
      <c r="F906" s="6">
        <v>1</v>
      </c>
      <c r="G906" s="7" t="s">
        <v>20</v>
      </c>
      <c r="H906" s="6">
        <v>50</v>
      </c>
      <c r="I906" s="7" t="s">
        <v>33</v>
      </c>
      <c r="J906" s="8">
        <v>28000</v>
      </c>
      <c r="K906" s="4" t="s">
        <v>33</v>
      </c>
      <c r="L906" s="9">
        <v>0.125</v>
      </c>
      <c r="M906" s="9">
        <v>0.05</v>
      </c>
      <c r="O906" s="7" t="s">
        <v>33</v>
      </c>
      <c r="P906" s="3">
        <f>(C906+(E906*F906*H906))-N906</f>
        <v>0</v>
      </c>
      <c r="Q906" s="7" t="s">
        <v>33</v>
      </c>
      <c r="R906" s="8">
        <f>P906*(J906-(J906*L906)-((J906-(J906*L906))*M906))</f>
        <v>0</v>
      </c>
      <c r="S906" s="8">
        <f>R906/1.11</f>
        <v>0</v>
      </c>
    </row>
    <row r="908" spans="1:19">
      <c r="A908" s="68" t="s">
        <v>600</v>
      </c>
      <c r="B908" s="2" t="s">
        <v>25</v>
      </c>
      <c r="D908" s="4" t="s">
        <v>33</v>
      </c>
      <c r="F908" s="6">
        <v>40</v>
      </c>
      <c r="G908" s="7" t="s">
        <v>100</v>
      </c>
      <c r="H908" s="6">
        <v>20</v>
      </c>
      <c r="I908" s="7" t="s">
        <v>33</v>
      </c>
      <c r="J908" s="8">
        <f>840000/40/20</f>
        <v>1050</v>
      </c>
      <c r="K908" s="4" t="s">
        <v>33</v>
      </c>
      <c r="M908" s="9">
        <v>0.17</v>
      </c>
      <c r="O908" s="7" t="s">
        <v>33</v>
      </c>
      <c r="P908" s="3">
        <f>(C908+(E908*F908*H908))-N908</f>
        <v>0</v>
      </c>
      <c r="Q908" s="7" t="s">
        <v>33</v>
      </c>
      <c r="R908" s="8">
        <f>P908*(J908-(J908*L908)-((J908-(J908*L908))*M908))</f>
        <v>0</v>
      </c>
      <c r="S908" s="8">
        <f t="shared" si="199"/>
        <v>0</v>
      </c>
    </row>
    <row r="909" spans="1:19" s="19" customFormat="1">
      <c r="A909" s="68" t="s">
        <v>601</v>
      </c>
      <c r="B909" s="19" t="s">
        <v>25</v>
      </c>
      <c r="C909" s="20"/>
      <c r="D909" s="21" t="s">
        <v>100</v>
      </c>
      <c r="E909" s="26">
        <v>3</v>
      </c>
      <c r="F909" s="22">
        <v>1</v>
      </c>
      <c r="G909" s="23" t="s">
        <v>20</v>
      </c>
      <c r="H909" s="22">
        <v>20</v>
      </c>
      <c r="I909" s="23" t="s">
        <v>100</v>
      </c>
      <c r="J909" s="24">
        <f>840000/20</f>
        <v>42000</v>
      </c>
      <c r="K909" s="21" t="s">
        <v>100</v>
      </c>
      <c r="L909" s="25"/>
      <c r="M909" s="25">
        <v>0.17</v>
      </c>
      <c r="N909" s="22"/>
      <c r="O909" s="23" t="s">
        <v>100</v>
      </c>
      <c r="P909" s="20">
        <f>(C909+(E909*F909*H909))-N909</f>
        <v>60</v>
      </c>
      <c r="Q909" s="23" t="s">
        <v>100</v>
      </c>
      <c r="R909" s="24">
        <f>P909*(J909-(J909*L909)-((J909-(J909*L909))*M909))</f>
        <v>2091600</v>
      </c>
      <c r="S909" s="24">
        <f t="shared" si="199"/>
        <v>1884324.3243243243</v>
      </c>
    </row>
    <row r="910" spans="1:19" s="17" customFormat="1">
      <c r="A910" s="18" t="s">
        <v>602</v>
      </c>
      <c r="B910" s="17" t="s">
        <v>25</v>
      </c>
      <c r="C910" s="74"/>
      <c r="D910" s="75" t="s">
        <v>100</v>
      </c>
      <c r="E910" s="41"/>
      <c r="F910" s="76">
        <v>1</v>
      </c>
      <c r="G910" s="77" t="s">
        <v>20</v>
      </c>
      <c r="H910" s="76">
        <v>15</v>
      </c>
      <c r="I910" s="77" t="s">
        <v>100</v>
      </c>
      <c r="J910" s="78">
        <f>525000/15</f>
        <v>35000</v>
      </c>
      <c r="K910" s="75" t="s">
        <v>100</v>
      </c>
      <c r="L910" s="79"/>
      <c r="M910" s="79">
        <v>0.17</v>
      </c>
      <c r="N910" s="76"/>
      <c r="O910" s="77" t="s">
        <v>100</v>
      </c>
      <c r="P910" s="74">
        <f>(C910+(E910*F910*H910))-N910</f>
        <v>0</v>
      </c>
      <c r="Q910" s="77" t="s">
        <v>100</v>
      </c>
      <c r="R910" s="78">
        <f>P910*(J910-(J910*L910)-((J910-(J910*L910))*M910))</f>
        <v>0</v>
      </c>
      <c r="S910" s="78">
        <f t="shared" si="199"/>
        <v>0</v>
      </c>
    </row>
    <row r="911" spans="1:19" s="17" customFormat="1">
      <c r="A911" s="18"/>
      <c r="C911" s="74"/>
      <c r="D911" s="75"/>
      <c r="E911" s="41"/>
      <c r="F911" s="76"/>
      <c r="G911" s="77"/>
      <c r="H911" s="76"/>
      <c r="I911" s="77"/>
      <c r="J911" s="78"/>
      <c r="K911" s="75"/>
      <c r="L911" s="79"/>
      <c r="M911" s="79"/>
      <c r="N911" s="76"/>
      <c r="O911" s="77"/>
      <c r="P911" s="74"/>
      <c r="Q911" s="77"/>
      <c r="R911" s="78"/>
      <c r="S911" s="78"/>
    </row>
    <row r="912" spans="1:19" s="19" customFormat="1">
      <c r="A912" s="68" t="s">
        <v>834</v>
      </c>
      <c r="B912" s="19" t="s">
        <v>604</v>
      </c>
      <c r="C912" s="20"/>
      <c r="D912" s="21" t="s">
        <v>33</v>
      </c>
      <c r="E912" s="26">
        <v>3</v>
      </c>
      <c r="F912" s="22">
        <v>1</v>
      </c>
      <c r="G912" s="23" t="s">
        <v>20</v>
      </c>
      <c r="H912" s="22">
        <v>500</v>
      </c>
      <c r="I912" s="23" t="s">
        <v>33</v>
      </c>
      <c r="J912" s="24">
        <v>3000</v>
      </c>
      <c r="K912" s="21" t="s">
        <v>33</v>
      </c>
      <c r="L912" s="25">
        <v>0.17499999999999999</v>
      </c>
      <c r="M912" s="25"/>
      <c r="N912" s="22"/>
      <c r="O912" s="23" t="s">
        <v>33</v>
      </c>
      <c r="P912" s="20">
        <f>(C912+(E912*F912*H912))-N912</f>
        <v>1500</v>
      </c>
      <c r="Q912" s="23" t="s">
        <v>33</v>
      </c>
      <c r="R912" s="24">
        <f>P912*(J912-(J912*L912)-((J912-(J912*L912))*M912))</f>
        <v>3712500</v>
      </c>
      <c r="S912" s="8">
        <f t="shared" ref="S912" si="200">R912/1.11</f>
        <v>3344594.5945945941</v>
      </c>
    </row>
    <row r="913" spans="1:19" s="19" customFormat="1">
      <c r="A913" s="68" t="s">
        <v>603</v>
      </c>
      <c r="B913" s="19" t="s">
        <v>604</v>
      </c>
      <c r="C913" s="20"/>
      <c r="D913" s="21" t="s">
        <v>33</v>
      </c>
      <c r="E913" s="26"/>
      <c r="F913" s="22">
        <v>1</v>
      </c>
      <c r="G913" s="23" t="s">
        <v>20</v>
      </c>
      <c r="H913" s="22">
        <v>200</v>
      </c>
      <c r="I913" s="23" t="s">
        <v>33</v>
      </c>
      <c r="J913" s="24">
        <v>11500</v>
      </c>
      <c r="K913" s="21" t="s">
        <v>33</v>
      </c>
      <c r="L913" s="25">
        <v>0.17499999999999999</v>
      </c>
      <c r="M913" s="25"/>
      <c r="N913" s="22"/>
      <c r="O913" s="23" t="s">
        <v>33</v>
      </c>
      <c r="P913" s="20">
        <f>(C913+(E913*F913*H913))-N913</f>
        <v>0</v>
      </c>
      <c r="Q913" s="23" t="s">
        <v>33</v>
      </c>
      <c r="R913" s="24">
        <f>P913*(J913-(J913*L913)-((J913-(J913*L913))*M913))</f>
        <v>0</v>
      </c>
      <c r="S913" s="8">
        <f t="shared" si="199"/>
        <v>0</v>
      </c>
    </row>
    <row r="914" spans="1:19" s="19" customFormat="1">
      <c r="A914" s="68" t="s">
        <v>668</v>
      </c>
      <c r="B914" s="19" t="s">
        <v>604</v>
      </c>
      <c r="C914" s="20"/>
      <c r="D914" s="21" t="s">
        <v>33</v>
      </c>
      <c r="E914" s="26"/>
      <c r="F914" s="22">
        <v>1</v>
      </c>
      <c r="G914" s="23" t="s">
        <v>20</v>
      </c>
      <c r="H914" s="22">
        <v>200</v>
      </c>
      <c r="I914" s="23" t="s">
        <v>33</v>
      </c>
      <c r="J914" s="24">
        <v>13800</v>
      </c>
      <c r="K914" s="21" t="s">
        <v>33</v>
      </c>
      <c r="L914" s="25">
        <v>0.17499999999999999</v>
      </c>
      <c r="M914" s="25">
        <v>0.03</v>
      </c>
      <c r="N914" s="22"/>
      <c r="O914" s="23" t="s">
        <v>33</v>
      </c>
      <c r="P914" s="20">
        <f>(C914+(E914*F914*H914))-N914</f>
        <v>0</v>
      </c>
      <c r="Q914" s="23" t="s">
        <v>33</v>
      </c>
      <c r="R914" s="24">
        <f>P914*(J914-(J914*L914)-((J914-(J914*L914))*M914))</f>
        <v>0</v>
      </c>
      <c r="S914" s="8">
        <f t="shared" si="199"/>
        <v>0</v>
      </c>
    </row>
    <row r="915" spans="1:19">
      <c r="A915" s="73"/>
      <c r="B915" s="19"/>
      <c r="O915" s="84"/>
    </row>
    <row r="916" spans="1:19">
      <c r="A916" s="15" t="s">
        <v>767</v>
      </c>
    </row>
    <row r="917" spans="1:19" s="19" customFormat="1">
      <c r="A917" s="18" t="s">
        <v>768</v>
      </c>
      <c r="B917" s="19" t="s">
        <v>590</v>
      </c>
      <c r="C917" s="20"/>
      <c r="D917" s="21" t="s">
        <v>41</v>
      </c>
      <c r="E917" s="26"/>
      <c r="F917" s="22">
        <v>1</v>
      </c>
      <c r="G917" s="23" t="s">
        <v>20</v>
      </c>
      <c r="H917" s="22">
        <v>30</v>
      </c>
      <c r="I917" s="23" t="s">
        <v>41</v>
      </c>
      <c r="J917" s="24">
        <v>102000</v>
      </c>
      <c r="K917" s="21" t="s">
        <v>41</v>
      </c>
      <c r="L917" s="25">
        <v>0.17499999999999999</v>
      </c>
      <c r="M917" s="25">
        <v>0.03</v>
      </c>
      <c r="N917" s="22"/>
      <c r="O917" s="23" t="s">
        <v>41</v>
      </c>
      <c r="P917" s="20">
        <f>(C917+(E917*F917*H917))-N917</f>
        <v>0</v>
      </c>
      <c r="Q917" s="23" t="s">
        <v>41</v>
      </c>
      <c r="R917" s="24">
        <f>P917*(J917-(J917*L917)-((J917-(J917*L917))*M917))</f>
        <v>0</v>
      </c>
      <c r="S917" s="24">
        <f t="shared" ref="S917" si="201">R917/1.11</f>
        <v>0</v>
      </c>
    </row>
    <row r="919" spans="1:19" ht="15.75">
      <c r="A919" s="14" t="s">
        <v>605</v>
      </c>
    </row>
    <row r="920" spans="1:19">
      <c r="A920" s="59" t="s">
        <v>606</v>
      </c>
      <c r="B920" s="2" t="s">
        <v>177</v>
      </c>
      <c r="D920" s="4" t="s">
        <v>100</v>
      </c>
      <c r="F920" s="6">
        <v>1</v>
      </c>
      <c r="G920" s="7" t="s">
        <v>20</v>
      </c>
      <c r="H920" s="6">
        <v>60</v>
      </c>
      <c r="I920" s="7" t="s">
        <v>100</v>
      </c>
      <c r="J920" s="8">
        <v>8600</v>
      </c>
      <c r="K920" s="4" t="s">
        <v>100</v>
      </c>
      <c r="L920" s="9">
        <v>0.05</v>
      </c>
      <c r="O920" s="7" t="s">
        <v>100</v>
      </c>
      <c r="P920" s="3">
        <f>(C920+(E920*F920*H920))-N920</f>
        <v>0</v>
      </c>
      <c r="Q920" s="7" t="s">
        <v>100</v>
      </c>
      <c r="R920" s="8">
        <f>P920*(J920-(J920*L920)-((J920-(J920*L920))*M920))</f>
        <v>0</v>
      </c>
      <c r="S920" s="8">
        <f t="shared" si="199"/>
        <v>0</v>
      </c>
    </row>
    <row r="921" spans="1:19">
      <c r="A921" s="59"/>
    </row>
    <row r="922" spans="1:19">
      <c r="A922" s="59" t="s">
        <v>611</v>
      </c>
      <c r="B922" s="2" t="s">
        <v>18</v>
      </c>
      <c r="D922" s="4" t="s">
        <v>33</v>
      </c>
      <c r="F922" s="6">
        <v>1</v>
      </c>
      <c r="G922" s="7" t="s">
        <v>20</v>
      </c>
      <c r="H922" s="6">
        <v>50</v>
      </c>
      <c r="I922" s="7" t="s">
        <v>33</v>
      </c>
      <c r="J922" s="8">
        <v>32300</v>
      </c>
      <c r="K922" s="4" t="s">
        <v>33</v>
      </c>
      <c r="L922" s="9">
        <v>0.125</v>
      </c>
      <c r="M922" s="9">
        <v>0.05</v>
      </c>
      <c r="O922" s="7" t="s">
        <v>33</v>
      </c>
      <c r="P922" s="3">
        <f t="shared" ref="P922:P932" si="202">(C922+(E922*F922*H922))-N922</f>
        <v>0</v>
      </c>
      <c r="Q922" s="7" t="s">
        <v>33</v>
      </c>
      <c r="R922" s="8">
        <f t="shared" ref="R922:R932" si="203">P922*(J922-(J922*L922)-((J922-(J922*L922))*M922))</f>
        <v>0</v>
      </c>
      <c r="S922" s="8">
        <f>R922/1.11</f>
        <v>0</v>
      </c>
    </row>
    <row r="923" spans="1:19">
      <c r="A923" s="59" t="s">
        <v>612</v>
      </c>
      <c r="B923" s="2" t="s">
        <v>18</v>
      </c>
      <c r="D923" s="4" t="s">
        <v>33</v>
      </c>
      <c r="F923" s="6">
        <v>1</v>
      </c>
      <c r="G923" s="7" t="s">
        <v>20</v>
      </c>
      <c r="H923" s="6">
        <v>50</v>
      </c>
      <c r="I923" s="7" t="s">
        <v>33</v>
      </c>
      <c r="J923" s="8">
        <v>12000</v>
      </c>
      <c r="K923" s="4" t="s">
        <v>33</v>
      </c>
      <c r="L923" s="9">
        <v>0.125</v>
      </c>
      <c r="M923" s="9">
        <v>0.05</v>
      </c>
      <c r="O923" s="7" t="s">
        <v>33</v>
      </c>
      <c r="P923" s="3">
        <f t="shared" si="202"/>
        <v>0</v>
      </c>
      <c r="Q923" s="7" t="s">
        <v>33</v>
      </c>
      <c r="R923" s="8">
        <f t="shared" si="203"/>
        <v>0</v>
      </c>
      <c r="S923" s="8">
        <f>R923/1.11</f>
        <v>0</v>
      </c>
    </row>
    <row r="924" spans="1:19">
      <c r="A924" s="59" t="s">
        <v>753</v>
      </c>
      <c r="B924" s="2" t="s">
        <v>18</v>
      </c>
      <c r="D924" s="4" t="s">
        <v>33</v>
      </c>
      <c r="F924" s="6">
        <v>1</v>
      </c>
      <c r="G924" s="7" t="s">
        <v>20</v>
      </c>
      <c r="H924" s="6">
        <v>50</v>
      </c>
      <c r="I924" s="7" t="s">
        <v>33</v>
      </c>
      <c r="J924" s="8">
        <v>29100</v>
      </c>
      <c r="K924" s="4" t="s">
        <v>33</v>
      </c>
      <c r="L924" s="9">
        <v>0.125</v>
      </c>
      <c r="M924" s="9">
        <v>0.05</v>
      </c>
      <c r="O924" s="7" t="s">
        <v>33</v>
      </c>
      <c r="P924" s="3">
        <f t="shared" si="202"/>
        <v>0</v>
      </c>
      <c r="Q924" s="7" t="s">
        <v>33</v>
      </c>
      <c r="R924" s="8">
        <f t="shared" si="203"/>
        <v>0</v>
      </c>
      <c r="S924" s="8">
        <f>R924/1.11</f>
        <v>0</v>
      </c>
    </row>
    <row r="925" spans="1:19">
      <c r="A925" s="59" t="s">
        <v>613</v>
      </c>
      <c r="B925" s="2" t="s">
        <v>18</v>
      </c>
      <c r="D925" s="4" t="s">
        <v>33</v>
      </c>
      <c r="F925" s="6">
        <v>1</v>
      </c>
      <c r="G925" s="7" t="s">
        <v>20</v>
      </c>
      <c r="H925" s="6">
        <v>50</v>
      </c>
      <c r="I925" s="7" t="s">
        <v>33</v>
      </c>
      <c r="J925" s="8">
        <v>36200</v>
      </c>
      <c r="K925" s="4" t="s">
        <v>33</v>
      </c>
      <c r="L925" s="9">
        <v>0.125</v>
      </c>
      <c r="M925" s="9">
        <v>0.05</v>
      </c>
      <c r="O925" s="7" t="s">
        <v>33</v>
      </c>
      <c r="P925" s="3">
        <f t="shared" si="202"/>
        <v>0</v>
      </c>
      <c r="Q925" s="7" t="s">
        <v>33</v>
      </c>
      <c r="R925" s="8">
        <f t="shared" si="203"/>
        <v>0</v>
      </c>
      <c r="S925" s="8">
        <f>R925/1.11</f>
        <v>0</v>
      </c>
    </row>
    <row r="926" spans="1:19" s="19" customFormat="1">
      <c r="A926" s="59" t="s">
        <v>607</v>
      </c>
      <c r="B926" s="19" t="s">
        <v>18</v>
      </c>
      <c r="C926" s="20"/>
      <c r="D926" s="21" t="s">
        <v>33</v>
      </c>
      <c r="E926" s="26">
        <v>22</v>
      </c>
      <c r="F926" s="22">
        <v>1</v>
      </c>
      <c r="G926" s="23" t="s">
        <v>20</v>
      </c>
      <c r="H926" s="22">
        <v>50</v>
      </c>
      <c r="I926" s="23" t="s">
        <v>33</v>
      </c>
      <c r="J926" s="24">
        <v>34100</v>
      </c>
      <c r="K926" s="21" t="s">
        <v>33</v>
      </c>
      <c r="L926" s="25">
        <v>0.125</v>
      </c>
      <c r="M926" s="25">
        <v>0.05</v>
      </c>
      <c r="N926" s="22"/>
      <c r="O926" s="23" t="s">
        <v>33</v>
      </c>
      <c r="P926" s="20">
        <f t="shared" si="202"/>
        <v>1100</v>
      </c>
      <c r="Q926" s="23" t="s">
        <v>33</v>
      </c>
      <c r="R926" s="24">
        <f t="shared" si="203"/>
        <v>31180187.5</v>
      </c>
      <c r="S926" s="8">
        <f t="shared" si="199"/>
        <v>28090259.009009007</v>
      </c>
    </row>
    <row r="927" spans="1:19" s="19" customFormat="1">
      <c r="A927" s="18" t="s">
        <v>608</v>
      </c>
      <c r="B927" s="19" t="s">
        <v>18</v>
      </c>
      <c r="C927" s="20"/>
      <c r="D927" s="21" t="s">
        <v>33</v>
      </c>
      <c r="E927" s="26">
        <v>8</v>
      </c>
      <c r="F927" s="22">
        <v>1</v>
      </c>
      <c r="G927" s="23" t="s">
        <v>20</v>
      </c>
      <c r="H927" s="22">
        <v>50</v>
      </c>
      <c r="I927" s="23" t="s">
        <v>33</v>
      </c>
      <c r="J927" s="24">
        <v>34100</v>
      </c>
      <c r="K927" s="21" t="s">
        <v>33</v>
      </c>
      <c r="L927" s="25">
        <v>0.125</v>
      </c>
      <c r="M927" s="25">
        <v>0.05</v>
      </c>
      <c r="N927" s="22"/>
      <c r="O927" s="23" t="s">
        <v>33</v>
      </c>
      <c r="P927" s="20">
        <f t="shared" si="202"/>
        <v>400</v>
      </c>
      <c r="Q927" s="23" t="s">
        <v>33</v>
      </c>
      <c r="R927" s="24">
        <f t="shared" si="203"/>
        <v>11338250</v>
      </c>
      <c r="S927" s="24">
        <f t="shared" si="199"/>
        <v>10214639.639639638</v>
      </c>
    </row>
    <row r="928" spans="1:19" s="19" customFormat="1">
      <c r="A928" s="18" t="s">
        <v>609</v>
      </c>
      <c r="B928" s="19" t="s">
        <v>18</v>
      </c>
      <c r="C928" s="20"/>
      <c r="D928" s="21" t="s">
        <v>33</v>
      </c>
      <c r="E928" s="26"/>
      <c r="F928" s="22">
        <v>1</v>
      </c>
      <c r="G928" s="23" t="s">
        <v>20</v>
      </c>
      <c r="H928" s="22">
        <v>50</v>
      </c>
      <c r="I928" s="23" t="s">
        <v>33</v>
      </c>
      <c r="J928" s="24">
        <v>32000</v>
      </c>
      <c r="K928" s="21" t="s">
        <v>33</v>
      </c>
      <c r="L928" s="25">
        <v>0.125</v>
      </c>
      <c r="M928" s="25">
        <v>0.05</v>
      </c>
      <c r="N928" s="22"/>
      <c r="O928" s="23" t="s">
        <v>33</v>
      </c>
      <c r="P928" s="20">
        <f t="shared" si="202"/>
        <v>0</v>
      </c>
      <c r="Q928" s="23" t="s">
        <v>33</v>
      </c>
      <c r="R928" s="24">
        <f t="shared" si="203"/>
        <v>0</v>
      </c>
      <c r="S928" s="24">
        <f t="shared" si="199"/>
        <v>0</v>
      </c>
    </row>
    <row r="929" spans="1:19" s="19" customFormat="1">
      <c r="A929" s="59" t="s">
        <v>610</v>
      </c>
      <c r="B929" s="19" t="s">
        <v>18</v>
      </c>
      <c r="C929" s="20"/>
      <c r="D929" s="21" t="s">
        <v>33</v>
      </c>
      <c r="E929" s="26">
        <v>3</v>
      </c>
      <c r="F929" s="22">
        <v>1</v>
      </c>
      <c r="G929" s="23" t="s">
        <v>20</v>
      </c>
      <c r="H929" s="22">
        <v>50</v>
      </c>
      <c r="I929" s="23" t="s">
        <v>33</v>
      </c>
      <c r="J929" s="24">
        <v>32000</v>
      </c>
      <c r="K929" s="21" t="s">
        <v>33</v>
      </c>
      <c r="L929" s="25">
        <v>0.125</v>
      </c>
      <c r="M929" s="25">
        <v>0.05</v>
      </c>
      <c r="N929" s="22"/>
      <c r="O929" s="23" t="s">
        <v>33</v>
      </c>
      <c r="P929" s="20">
        <f t="shared" si="202"/>
        <v>150</v>
      </c>
      <c r="Q929" s="23" t="s">
        <v>33</v>
      </c>
      <c r="R929" s="24">
        <f t="shared" si="203"/>
        <v>3990000</v>
      </c>
      <c r="S929" s="8">
        <f t="shared" si="199"/>
        <v>3594594.5945945941</v>
      </c>
    </row>
    <row r="930" spans="1:19" s="19" customFormat="1">
      <c r="A930" s="59" t="s">
        <v>614</v>
      </c>
      <c r="B930" s="19" t="s">
        <v>18</v>
      </c>
      <c r="C930" s="20"/>
      <c r="D930" s="21" t="s">
        <v>33</v>
      </c>
      <c r="E930" s="26">
        <v>23</v>
      </c>
      <c r="F930" s="22">
        <v>1</v>
      </c>
      <c r="G930" s="23" t="s">
        <v>20</v>
      </c>
      <c r="H930" s="22">
        <v>50</v>
      </c>
      <c r="I930" s="23" t="s">
        <v>33</v>
      </c>
      <c r="J930" s="24">
        <v>28300</v>
      </c>
      <c r="K930" s="21" t="s">
        <v>33</v>
      </c>
      <c r="L930" s="25">
        <v>0.125</v>
      </c>
      <c r="M930" s="25">
        <v>0.05</v>
      </c>
      <c r="N930" s="22"/>
      <c r="O930" s="23" t="s">
        <v>33</v>
      </c>
      <c r="P930" s="20">
        <f t="shared" si="202"/>
        <v>1150</v>
      </c>
      <c r="Q930" s="23" t="s">
        <v>33</v>
      </c>
      <c r="R930" s="24">
        <f t="shared" si="203"/>
        <v>27053031.25</v>
      </c>
      <c r="S930" s="24">
        <f t="shared" si="199"/>
        <v>24372100.225225221</v>
      </c>
    </row>
    <row r="931" spans="1:19" s="19" customFormat="1">
      <c r="A931" s="59" t="s">
        <v>615</v>
      </c>
      <c r="B931" s="19" t="s">
        <v>18</v>
      </c>
      <c r="C931" s="20"/>
      <c r="D931" s="21" t="s">
        <v>33</v>
      </c>
      <c r="E931" s="26">
        <v>13</v>
      </c>
      <c r="F931" s="22">
        <v>1</v>
      </c>
      <c r="G931" s="23" t="s">
        <v>20</v>
      </c>
      <c r="H931" s="22">
        <v>50</v>
      </c>
      <c r="I931" s="23" t="s">
        <v>33</v>
      </c>
      <c r="J931" s="24">
        <v>28300</v>
      </c>
      <c r="K931" s="21" t="s">
        <v>33</v>
      </c>
      <c r="L931" s="25">
        <v>0.125</v>
      </c>
      <c r="M931" s="25">
        <v>0.05</v>
      </c>
      <c r="N931" s="22"/>
      <c r="O931" s="23" t="s">
        <v>33</v>
      </c>
      <c r="P931" s="20">
        <f t="shared" si="202"/>
        <v>650</v>
      </c>
      <c r="Q931" s="23" t="s">
        <v>33</v>
      </c>
      <c r="R931" s="24">
        <f t="shared" si="203"/>
        <v>15290843.75</v>
      </c>
      <c r="S931" s="24">
        <f t="shared" si="199"/>
        <v>13775534.90990991</v>
      </c>
    </row>
    <row r="932" spans="1:19">
      <c r="A932" s="59" t="s">
        <v>616</v>
      </c>
      <c r="B932" s="2" t="s">
        <v>18</v>
      </c>
      <c r="D932" s="4" t="s">
        <v>33</v>
      </c>
      <c r="F932" s="6">
        <v>1</v>
      </c>
      <c r="G932" s="7" t="s">
        <v>20</v>
      </c>
      <c r="H932" s="6">
        <v>50</v>
      </c>
      <c r="I932" s="7" t="s">
        <v>33</v>
      </c>
      <c r="J932" s="8">
        <v>26500</v>
      </c>
      <c r="K932" s="4" t="s">
        <v>33</v>
      </c>
      <c r="L932" s="9">
        <v>0.125</v>
      </c>
      <c r="M932" s="9">
        <v>0.05</v>
      </c>
      <c r="O932" s="7" t="s">
        <v>33</v>
      </c>
      <c r="P932" s="3">
        <f t="shared" si="202"/>
        <v>0</v>
      </c>
      <c r="Q932" s="7" t="s">
        <v>33</v>
      </c>
      <c r="R932" s="8">
        <f t="shared" si="203"/>
        <v>0</v>
      </c>
      <c r="S932" s="8">
        <f t="shared" si="199"/>
        <v>0</v>
      </c>
    </row>
    <row r="933" spans="1:19">
      <c r="A933" s="59"/>
    </row>
    <row r="934" spans="1:19" s="19" customFormat="1">
      <c r="A934" s="66" t="s">
        <v>617</v>
      </c>
      <c r="B934" s="19" t="s">
        <v>25</v>
      </c>
      <c r="C934" s="20"/>
      <c r="D934" s="21" t="s">
        <v>33</v>
      </c>
      <c r="E934" s="26">
        <v>6</v>
      </c>
      <c r="F934" s="22">
        <v>1</v>
      </c>
      <c r="G934" s="23" t="s">
        <v>20</v>
      </c>
      <c r="H934" s="22">
        <v>50</v>
      </c>
      <c r="I934" s="23" t="s">
        <v>33</v>
      </c>
      <c r="J934" s="24">
        <f>1500000/50</f>
        <v>30000</v>
      </c>
      <c r="K934" s="21" t="s">
        <v>33</v>
      </c>
      <c r="L934" s="25"/>
      <c r="M934" s="25">
        <v>0.17</v>
      </c>
      <c r="N934" s="22"/>
      <c r="O934" s="23" t="s">
        <v>33</v>
      </c>
      <c r="P934" s="20">
        <f t="shared" ref="P934:P939" si="204">(C934+(E934*F934*H934))-N934</f>
        <v>300</v>
      </c>
      <c r="Q934" s="23" t="s">
        <v>33</v>
      </c>
      <c r="R934" s="24">
        <f t="shared" ref="R934:R939" si="205">P934*(J934-(J934*L934)-((J934-(J934*L934))*M934))</f>
        <v>7470000</v>
      </c>
      <c r="S934" s="24">
        <f t="shared" si="199"/>
        <v>6729729.7297297288</v>
      </c>
    </row>
    <row r="935" spans="1:19" s="19" customFormat="1">
      <c r="A935" s="66" t="s">
        <v>618</v>
      </c>
      <c r="B935" s="19" t="s">
        <v>25</v>
      </c>
      <c r="C935" s="20"/>
      <c r="D935" s="21" t="s">
        <v>33</v>
      </c>
      <c r="E935" s="26">
        <v>2</v>
      </c>
      <c r="F935" s="22">
        <v>1</v>
      </c>
      <c r="G935" s="23" t="s">
        <v>20</v>
      </c>
      <c r="H935" s="22">
        <v>50</v>
      </c>
      <c r="I935" s="23" t="s">
        <v>33</v>
      </c>
      <c r="J935" s="24">
        <f>1500000/50</f>
        <v>30000</v>
      </c>
      <c r="K935" s="21" t="s">
        <v>33</v>
      </c>
      <c r="L935" s="25"/>
      <c r="M935" s="25">
        <v>0.17</v>
      </c>
      <c r="N935" s="22"/>
      <c r="O935" s="23" t="s">
        <v>33</v>
      </c>
      <c r="P935" s="20">
        <f t="shared" si="204"/>
        <v>100</v>
      </c>
      <c r="Q935" s="23" t="s">
        <v>33</v>
      </c>
      <c r="R935" s="24">
        <f t="shared" si="205"/>
        <v>2490000</v>
      </c>
      <c r="S935" s="24">
        <f t="shared" si="199"/>
        <v>2243243.2432432431</v>
      </c>
    </row>
    <row r="936" spans="1:19">
      <c r="A936" s="59" t="s">
        <v>756</v>
      </c>
      <c r="B936" s="2" t="s">
        <v>25</v>
      </c>
      <c r="C936" s="20"/>
      <c r="D936" s="4" t="s">
        <v>33</v>
      </c>
      <c r="F936" s="6">
        <v>1</v>
      </c>
      <c r="G936" s="7" t="s">
        <v>20</v>
      </c>
      <c r="H936" s="6">
        <v>50</v>
      </c>
      <c r="I936" s="7" t="s">
        <v>33</v>
      </c>
      <c r="J936" s="8">
        <v>32400</v>
      </c>
      <c r="K936" s="4" t="s">
        <v>33</v>
      </c>
      <c r="M936" s="9">
        <v>0.17</v>
      </c>
      <c r="O936" s="7" t="s">
        <v>33</v>
      </c>
      <c r="P936" s="3">
        <f t="shared" si="204"/>
        <v>0</v>
      </c>
      <c r="Q936" s="7" t="s">
        <v>33</v>
      </c>
      <c r="R936" s="8">
        <f t="shared" si="205"/>
        <v>0</v>
      </c>
      <c r="S936" s="8">
        <f t="shared" si="199"/>
        <v>0</v>
      </c>
    </row>
    <row r="937" spans="1:19">
      <c r="A937" s="59" t="s">
        <v>619</v>
      </c>
      <c r="B937" s="2" t="s">
        <v>25</v>
      </c>
      <c r="C937" s="20"/>
      <c r="D937" s="4" t="s">
        <v>33</v>
      </c>
      <c r="F937" s="6">
        <v>1</v>
      </c>
      <c r="G937" s="7" t="s">
        <v>20</v>
      </c>
      <c r="H937" s="6">
        <v>50</v>
      </c>
      <c r="I937" s="7" t="s">
        <v>33</v>
      </c>
      <c r="J937" s="8">
        <v>28500</v>
      </c>
      <c r="K937" s="4" t="s">
        <v>33</v>
      </c>
      <c r="M937" s="9">
        <v>0.17</v>
      </c>
      <c r="O937" s="7" t="s">
        <v>33</v>
      </c>
      <c r="P937" s="3">
        <f t="shared" si="204"/>
        <v>0</v>
      </c>
      <c r="Q937" s="7" t="s">
        <v>33</v>
      </c>
      <c r="R937" s="8">
        <f t="shared" si="205"/>
        <v>0</v>
      </c>
      <c r="S937" s="8">
        <f t="shared" si="199"/>
        <v>0</v>
      </c>
    </row>
    <row r="938" spans="1:19" s="19" customFormat="1">
      <c r="A938" s="66" t="s">
        <v>620</v>
      </c>
      <c r="B938" s="19" t="s">
        <v>25</v>
      </c>
      <c r="C938" s="20"/>
      <c r="D938" s="21" t="s">
        <v>33</v>
      </c>
      <c r="E938" s="26">
        <v>7</v>
      </c>
      <c r="F938" s="22">
        <v>1</v>
      </c>
      <c r="G938" s="23" t="s">
        <v>20</v>
      </c>
      <c r="H938" s="22">
        <v>50</v>
      </c>
      <c r="I938" s="23" t="s">
        <v>33</v>
      </c>
      <c r="J938" s="24">
        <f>1375000/50</f>
        <v>27500</v>
      </c>
      <c r="K938" s="21" t="s">
        <v>33</v>
      </c>
      <c r="L938" s="25"/>
      <c r="M938" s="25">
        <v>0.17</v>
      </c>
      <c r="N938" s="22"/>
      <c r="O938" s="23" t="s">
        <v>33</v>
      </c>
      <c r="P938" s="20">
        <f t="shared" si="204"/>
        <v>350</v>
      </c>
      <c r="Q938" s="23" t="s">
        <v>33</v>
      </c>
      <c r="R938" s="24">
        <f t="shared" si="205"/>
        <v>7988750</v>
      </c>
      <c r="S938" s="24">
        <f t="shared" si="199"/>
        <v>7197072.072072071</v>
      </c>
    </row>
    <row r="939" spans="1:19" s="19" customFormat="1">
      <c r="A939" s="66" t="s">
        <v>621</v>
      </c>
      <c r="B939" s="19" t="s">
        <v>25</v>
      </c>
      <c r="C939" s="20"/>
      <c r="D939" s="21" t="s">
        <v>33</v>
      </c>
      <c r="E939" s="26">
        <v>3</v>
      </c>
      <c r="F939" s="22">
        <v>1</v>
      </c>
      <c r="G939" s="23" t="s">
        <v>20</v>
      </c>
      <c r="H939" s="22">
        <v>50</v>
      </c>
      <c r="I939" s="23" t="s">
        <v>33</v>
      </c>
      <c r="J939" s="24">
        <f>1375000/50</f>
        <v>27500</v>
      </c>
      <c r="K939" s="21" t="s">
        <v>33</v>
      </c>
      <c r="L939" s="25"/>
      <c r="M939" s="25">
        <v>0.17</v>
      </c>
      <c r="N939" s="22"/>
      <c r="O939" s="23" t="s">
        <v>33</v>
      </c>
      <c r="P939" s="20">
        <f t="shared" si="204"/>
        <v>150</v>
      </c>
      <c r="Q939" s="23" t="s">
        <v>33</v>
      </c>
      <c r="R939" s="24">
        <f t="shared" si="205"/>
        <v>3423750</v>
      </c>
      <c r="S939" s="24">
        <f t="shared" si="199"/>
        <v>3084459.4594594594</v>
      </c>
    </row>
    <row r="941" spans="1:19" ht="15.75">
      <c r="A941" s="14" t="s">
        <v>786</v>
      </c>
    </row>
    <row r="942" spans="1:19">
      <c r="A942" s="17" t="s">
        <v>788</v>
      </c>
      <c r="B942" s="2" t="s">
        <v>177</v>
      </c>
      <c r="D942" s="4" t="s">
        <v>19</v>
      </c>
      <c r="F942" s="6">
        <v>50</v>
      </c>
      <c r="G942" s="7" t="s">
        <v>100</v>
      </c>
      <c r="H942" s="6">
        <v>100</v>
      </c>
      <c r="I942" s="7" t="s">
        <v>19</v>
      </c>
      <c r="J942" s="8">
        <f>39500/100</f>
        <v>395</v>
      </c>
      <c r="K942" s="4" t="s">
        <v>19</v>
      </c>
      <c r="L942" s="9">
        <v>0.05</v>
      </c>
      <c r="O942" s="7" t="s">
        <v>19</v>
      </c>
      <c r="P942" s="3">
        <f>(C942+(E942*F942*H942))-N942</f>
        <v>0</v>
      </c>
      <c r="Q942" s="7" t="s">
        <v>19</v>
      </c>
      <c r="R942" s="8">
        <f>P942*(J942-(J942*L942)-((J942-(J942*L942))*M942))</f>
        <v>0</v>
      </c>
      <c r="S942" s="8">
        <f t="shared" ref="S942" si="206">R942/1.11</f>
        <v>0</v>
      </c>
    </row>
    <row r="944" spans="1:19" ht="15.75">
      <c r="A944" s="14" t="s">
        <v>622</v>
      </c>
    </row>
    <row r="945" spans="1:19">
      <c r="A945" s="15" t="s">
        <v>623</v>
      </c>
    </row>
    <row r="946" spans="1:19" s="19" customFormat="1">
      <c r="A946" s="66" t="s">
        <v>624</v>
      </c>
      <c r="B946" s="19" t="s">
        <v>187</v>
      </c>
      <c r="C946" s="20"/>
      <c r="D946" s="21" t="s">
        <v>283</v>
      </c>
      <c r="E946" s="26"/>
      <c r="F946" s="22">
        <v>1</v>
      </c>
      <c r="G946" s="23" t="s">
        <v>20</v>
      </c>
      <c r="H946" s="22">
        <v>720</v>
      </c>
      <c r="I946" s="23" t="s">
        <v>283</v>
      </c>
      <c r="J946" s="24">
        <v>3100</v>
      </c>
      <c r="K946" s="21" t="s">
        <v>283</v>
      </c>
      <c r="L946" s="25"/>
      <c r="M946" s="25">
        <v>0.15</v>
      </c>
      <c r="N946" s="22"/>
      <c r="O946" s="23" t="s">
        <v>283</v>
      </c>
      <c r="P946" s="20">
        <f>(C946+(E946*F946*H946))-N946</f>
        <v>0</v>
      </c>
      <c r="Q946" s="23" t="s">
        <v>283</v>
      </c>
      <c r="R946" s="24">
        <f>P946*(J946-(J946*L946)-((J946-(J946*L946))*M946))</f>
        <v>0</v>
      </c>
      <c r="S946" s="8">
        <f t="shared" si="199"/>
        <v>0</v>
      </c>
    </row>
    <row r="947" spans="1:19" s="19" customFormat="1">
      <c r="A947" s="66" t="s">
        <v>625</v>
      </c>
      <c r="B947" s="19" t="s">
        <v>187</v>
      </c>
      <c r="C947" s="20"/>
      <c r="D947" s="21" t="s">
        <v>283</v>
      </c>
      <c r="E947" s="26"/>
      <c r="F947" s="22">
        <v>1</v>
      </c>
      <c r="G947" s="23" t="s">
        <v>20</v>
      </c>
      <c r="H947" s="22">
        <v>480</v>
      </c>
      <c r="I947" s="23" t="s">
        <v>283</v>
      </c>
      <c r="J947" s="24">
        <v>4750</v>
      </c>
      <c r="K947" s="21" t="s">
        <v>283</v>
      </c>
      <c r="L947" s="25"/>
      <c r="M947" s="25">
        <v>0.15</v>
      </c>
      <c r="N947" s="22"/>
      <c r="O947" s="23" t="s">
        <v>283</v>
      </c>
      <c r="P947" s="20">
        <f>(C947+(E947*F947*H947))-N947</f>
        <v>0</v>
      </c>
      <c r="Q947" s="23" t="s">
        <v>283</v>
      </c>
      <c r="R947" s="24">
        <f>P947*(J947-(J947*L947)-((J947-(J947*L947))*M947))</f>
        <v>0</v>
      </c>
      <c r="S947" s="8">
        <f t="shared" si="199"/>
        <v>0</v>
      </c>
    </row>
    <row r="948" spans="1:19">
      <c r="A948" s="66" t="s">
        <v>626</v>
      </c>
      <c r="B948" s="19" t="s">
        <v>187</v>
      </c>
      <c r="C948" s="20"/>
      <c r="D948" s="4" t="s">
        <v>283</v>
      </c>
      <c r="F948" s="6">
        <v>1</v>
      </c>
      <c r="G948" s="7" t="s">
        <v>20</v>
      </c>
      <c r="H948" s="6">
        <v>360</v>
      </c>
      <c r="I948" s="7" t="s">
        <v>283</v>
      </c>
      <c r="J948" s="8">
        <v>6000</v>
      </c>
      <c r="K948" s="4" t="s">
        <v>283</v>
      </c>
      <c r="M948" s="9">
        <v>0.15</v>
      </c>
      <c r="N948" s="22"/>
      <c r="O948" s="7" t="s">
        <v>283</v>
      </c>
      <c r="P948" s="3">
        <f>(C948+(E948*F948*H948))-N948</f>
        <v>0</v>
      </c>
      <c r="Q948" s="7" t="s">
        <v>283</v>
      </c>
      <c r="R948" s="8">
        <f>P948*(J948-(J948*L948)-((J948-(J948*L948))*M948))</f>
        <v>0</v>
      </c>
      <c r="S948" s="8">
        <f t="shared" si="199"/>
        <v>0</v>
      </c>
    </row>
    <row r="949" spans="1:19">
      <c r="A949" s="59"/>
      <c r="B949" s="19"/>
      <c r="C949" s="20"/>
      <c r="N949" s="22"/>
    </row>
    <row r="950" spans="1:19">
      <c r="A950" s="59" t="s">
        <v>627</v>
      </c>
      <c r="B950" s="2" t="s">
        <v>18</v>
      </c>
      <c r="C950" s="20"/>
      <c r="D950" s="4" t="s">
        <v>283</v>
      </c>
      <c r="F950" s="6">
        <v>10</v>
      </c>
      <c r="G950" s="7" t="s">
        <v>100</v>
      </c>
      <c r="H950" s="6">
        <v>24</v>
      </c>
      <c r="I950" s="7" t="s">
        <v>283</v>
      </c>
      <c r="J950" s="8">
        <v>2300</v>
      </c>
      <c r="K950" s="4" t="s">
        <v>283</v>
      </c>
      <c r="L950" s="9">
        <v>0.125</v>
      </c>
      <c r="M950" s="9">
        <v>0.05</v>
      </c>
      <c r="O950" s="7" t="s">
        <v>283</v>
      </c>
      <c r="P950" s="3">
        <f>(C950+(E950*F950*H950))-N950</f>
        <v>0</v>
      </c>
      <c r="Q950" s="7" t="s">
        <v>283</v>
      </c>
      <c r="R950" s="8">
        <f>P950*(J950-(J950*L950)-((J950-(J950*L950))*M950))</f>
        <v>0</v>
      </c>
      <c r="S950" s="8">
        <f t="shared" si="199"/>
        <v>0</v>
      </c>
    </row>
    <row r="951" spans="1:19">
      <c r="A951" s="59" t="s">
        <v>628</v>
      </c>
      <c r="B951" s="2" t="s">
        <v>18</v>
      </c>
      <c r="C951" s="20"/>
      <c r="D951" s="4" t="s">
        <v>283</v>
      </c>
      <c r="F951" s="6">
        <v>10</v>
      </c>
      <c r="G951" s="7" t="s">
        <v>100</v>
      </c>
      <c r="H951" s="6">
        <v>12</v>
      </c>
      <c r="I951" s="7" t="s">
        <v>283</v>
      </c>
      <c r="J951" s="8">
        <v>4600</v>
      </c>
      <c r="K951" s="4" t="s">
        <v>283</v>
      </c>
      <c r="L951" s="9">
        <v>0.125</v>
      </c>
      <c r="M951" s="9">
        <v>0.05</v>
      </c>
      <c r="O951" s="7" t="s">
        <v>283</v>
      </c>
      <c r="P951" s="3">
        <f>(C951+(E951*F951*H951))-N951</f>
        <v>0</v>
      </c>
      <c r="Q951" s="7" t="s">
        <v>283</v>
      </c>
      <c r="R951" s="8">
        <f>P951*(J951-(J951*L951)-((J951-(J951*L951))*M951))</f>
        <v>0</v>
      </c>
      <c r="S951" s="8">
        <f t="shared" si="199"/>
        <v>0</v>
      </c>
    </row>
    <row r="952" spans="1:19">
      <c r="A952" s="59"/>
      <c r="C952" s="20"/>
    </row>
    <row r="953" spans="1:19">
      <c r="A953" s="68" t="s">
        <v>629</v>
      </c>
      <c r="B953" s="2" t="s">
        <v>25</v>
      </c>
      <c r="C953" s="20"/>
      <c r="D953" s="4" t="s">
        <v>283</v>
      </c>
      <c r="F953" s="6">
        <v>1</v>
      </c>
      <c r="G953" s="7" t="s">
        <v>20</v>
      </c>
      <c r="H953" s="6">
        <v>480</v>
      </c>
      <c r="I953" s="7" t="s">
        <v>283</v>
      </c>
      <c r="J953" s="8">
        <f>588000/480</f>
        <v>1225</v>
      </c>
      <c r="K953" s="4" t="s">
        <v>283</v>
      </c>
      <c r="M953" s="9">
        <v>0.17</v>
      </c>
      <c r="O953" s="7" t="s">
        <v>283</v>
      </c>
      <c r="P953" s="3">
        <f>(C953+(E953*F953*H953))-N953</f>
        <v>0</v>
      </c>
      <c r="Q953" s="7" t="s">
        <v>283</v>
      </c>
      <c r="R953" s="8">
        <f>P953*(J953-(J953*L953)-((J953-(J953*L953))*M953))</f>
        <v>0</v>
      </c>
      <c r="S953" s="8">
        <f t="shared" si="199"/>
        <v>0</v>
      </c>
    </row>
    <row r="954" spans="1:19">
      <c r="A954" s="68" t="s">
        <v>630</v>
      </c>
      <c r="B954" s="2" t="s">
        <v>25</v>
      </c>
      <c r="C954" s="20"/>
      <c r="D954" s="4" t="s">
        <v>283</v>
      </c>
      <c r="F954" s="6">
        <v>1</v>
      </c>
      <c r="G954" s="7" t="s">
        <v>20</v>
      </c>
      <c r="H954" s="6">
        <v>240</v>
      </c>
      <c r="I954" s="7" t="s">
        <v>283</v>
      </c>
      <c r="J954" s="8">
        <f>588000/240</f>
        <v>2450</v>
      </c>
      <c r="K954" s="4" t="s">
        <v>283</v>
      </c>
      <c r="M954" s="9">
        <v>0.17</v>
      </c>
      <c r="O954" s="7" t="s">
        <v>283</v>
      </c>
      <c r="P954" s="3">
        <f>(C954+(E954*F954*H954))-N954</f>
        <v>0</v>
      </c>
      <c r="Q954" s="7" t="s">
        <v>283</v>
      </c>
      <c r="R954" s="8">
        <f>P954*(J954-(J954*L954)-((J954-(J954*L954))*M954))</f>
        <v>0</v>
      </c>
      <c r="S954" s="8">
        <f t="shared" si="199"/>
        <v>0</v>
      </c>
    </row>
    <row r="955" spans="1:19">
      <c r="A955" s="68" t="s">
        <v>631</v>
      </c>
      <c r="B955" s="2" t="s">
        <v>25</v>
      </c>
      <c r="C955" s="20"/>
      <c r="D955" s="4" t="s">
        <v>283</v>
      </c>
      <c r="F955" s="6">
        <v>1</v>
      </c>
      <c r="G955" s="7" t="s">
        <v>20</v>
      </c>
      <c r="H955" s="6">
        <v>120</v>
      </c>
      <c r="I955" s="7" t="s">
        <v>283</v>
      </c>
      <c r="J955" s="8">
        <v>4800</v>
      </c>
      <c r="K955" s="4" t="s">
        <v>283</v>
      </c>
      <c r="M955" s="9">
        <v>0.17</v>
      </c>
      <c r="O955" s="7" t="s">
        <v>283</v>
      </c>
      <c r="P955" s="3">
        <f>(C955+(E955*F955*H955))-N955</f>
        <v>0</v>
      </c>
      <c r="Q955" s="7" t="s">
        <v>283</v>
      </c>
      <c r="R955" s="8">
        <f>P955*(J955-(J955*L955)-((J955-(J955*L955))*M955))</f>
        <v>0</v>
      </c>
      <c r="S955" s="8">
        <f t="shared" si="199"/>
        <v>0</v>
      </c>
    </row>
    <row r="956" spans="1:19">
      <c r="A956" s="68" t="s">
        <v>632</v>
      </c>
      <c r="B956" s="2" t="s">
        <v>25</v>
      </c>
      <c r="C956" s="20"/>
      <c r="D956" s="4" t="s">
        <v>283</v>
      </c>
      <c r="E956" s="5">
        <v>1</v>
      </c>
      <c r="F956" s="6">
        <v>1</v>
      </c>
      <c r="G956" s="7" t="s">
        <v>20</v>
      </c>
      <c r="H956" s="6">
        <v>60</v>
      </c>
      <c r="I956" s="7" t="s">
        <v>283</v>
      </c>
      <c r="J956" s="8">
        <v>9500</v>
      </c>
      <c r="K956" s="4" t="s">
        <v>283</v>
      </c>
      <c r="M956" s="9">
        <v>0.17</v>
      </c>
      <c r="O956" s="7" t="s">
        <v>283</v>
      </c>
      <c r="P956" s="3">
        <f>(C956+(E956*F956*H956))-N956</f>
        <v>60</v>
      </c>
      <c r="Q956" s="7" t="s">
        <v>283</v>
      </c>
      <c r="R956" s="8">
        <f>P956*(J956-(J956*L956)-((J956-(J956*L956))*M956))</f>
        <v>473100</v>
      </c>
      <c r="S956" s="8">
        <f t="shared" si="199"/>
        <v>426216.21621621615</v>
      </c>
    </row>
    <row r="958" spans="1:19">
      <c r="A958" s="15" t="s">
        <v>818</v>
      </c>
      <c r="S958" s="8">
        <f t="shared" ref="S958:S959" si="207">R958/1.11</f>
        <v>0</v>
      </c>
    </row>
    <row r="959" spans="1:19" s="19" customFormat="1">
      <c r="A959" s="17" t="s">
        <v>819</v>
      </c>
      <c r="B959" s="19" t="s">
        <v>18</v>
      </c>
      <c r="C959" s="20"/>
      <c r="D959" s="21" t="s">
        <v>283</v>
      </c>
      <c r="E959" s="26"/>
      <c r="F959" s="22">
        <v>1</v>
      </c>
      <c r="G959" s="23" t="s">
        <v>20</v>
      </c>
      <c r="H959" s="22">
        <v>120</v>
      </c>
      <c r="I959" s="23" t="s">
        <v>283</v>
      </c>
      <c r="J959" s="24">
        <v>5500</v>
      </c>
      <c r="K959" s="21" t="s">
        <v>283</v>
      </c>
      <c r="L959" s="25">
        <v>0.125</v>
      </c>
      <c r="M959" s="25">
        <v>0.05</v>
      </c>
      <c r="N959" s="22"/>
      <c r="O959" s="23" t="s">
        <v>283</v>
      </c>
      <c r="P959" s="20">
        <f t="shared" ref="P959" si="208">(C959+(E959*F959*H959))-N959</f>
        <v>0</v>
      </c>
      <c r="Q959" s="23" t="s">
        <v>283</v>
      </c>
      <c r="R959" s="24">
        <f t="shared" ref="R959" si="209">P959*(J959-(J959*L959)-((J959-(J959*L959))*M959))</f>
        <v>0</v>
      </c>
      <c r="S959" s="24">
        <f t="shared" si="207"/>
        <v>0</v>
      </c>
    </row>
    <row r="960" spans="1:19">
      <c r="A960" s="58"/>
    </row>
    <row r="961" spans="1:19">
      <c r="A961" s="15" t="s">
        <v>633</v>
      </c>
    </row>
    <row r="962" spans="1:19" s="19" customFormat="1">
      <c r="A962" s="18" t="s">
        <v>712</v>
      </c>
      <c r="B962" s="19" t="s">
        <v>25</v>
      </c>
      <c r="C962" s="20"/>
      <c r="D962" s="21" t="s">
        <v>283</v>
      </c>
      <c r="E962" s="26"/>
      <c r="F962" s="22">
        <v>1</v>
      </c>
      <c r="G962" s="23" t="s">
        <v>20</v>
      </c>
      <c r="H962" s="22">
        <v>72</v>
      </c>
      <c r="I962" s="23" t="s">
        <v>283</v>
      </c>
      <c r="J962" s="24">
        <f>900000/72</f>
        <v>12500</v>
      </c>
      <c r="K962" s="21" t="s">
        <v>283</v>
      </c>
      <c r="L962" s="25"/>
      <c r="M962" s="25">
        <v>0.17</v>
      </c>
      <c r="N962" s="22"/>
      <c r="O962" s="23" t="s">
        <v>283</v>
      </c>
      <c r="P962" s="20">
        <f>(C962+(E962*F962*H962))-N962</f>
        <v>0</v>
      </c>
      <c r="Q962" s="23" t="s">
        <v>283</v>
      </c>
      <c r="R962" s="24">
        <f>P962*(J962-(J962*L962)-((J962-(J962*L962))*M962))</f>
        <v>0</v>
      </c>
      <c r="S962" s="24">
        <f t="shared" si="199"/>
        <v>0</v>
      </c>
    </row>
    <row r="963" spans="1:19">
      <c r="A963" s="17" t="s">
        <v>634</v>
      </c>
      <c r="B963" s="2" t="s">
        <v>25</v>
      </c>
      <c r="D963" s="4" t="s">
        <v>283</v>
      </c>
      <c r="F963" s="6">
        <v>1</v>
      </c>
      <c r="G963" s="7" t="s">
        <v>20</v>
      </c>
      <c r="H963" s="6">
        <v>72</v>
      </c>
      <c r="I963" s="7" t="s">
        <v>283</v>
      </c>
      <c r="J963" s="24">
        <f>900000/72</f>
        <v>12500</v>
      </c>
      <c r="K963" s="4" t="s">
        <v>283</v>
      </c>
      <c r="M963" s="9">
        <v>0.17</v>
      </c>
      <c r="O963" s="7" t="s">
        <v>283</v>
      </c>
      <c r="P963" s="3">
        <f>(C963+(E963*F963*H963))-N963</f>
        <v>0</v>
      </c>
      <c r="Q963" s="7" t="s">
        <v>283</v>
      </c>
      <c r="R963" s="8">
        <f>P963*(J963-(J963*L963)-((J963-(J963*L963))*M963))</f>
        <v>0</v>
      </c>
      <c r="S963" s="8">
        <f t="shared" si="199"/>
        <v>0</v>
      </c>
    </row>
    <row r="964" spans="1:19">
      <c r="A964" s="17" t="s">
        <v>840</v>
      </c>
      <c r="B964" s="2" t="s">
        <v>25</v>
      </c>
      <c r="D964" s="4" t="s">
        <v>283</v>
      </c>
      <c r="F964" s="6">
        <v>1</v>
      </c>
      <c r="G964" s="7" t="s">
        <v>20</v>
      </c>
      <c r="H964" s="6">
        <v>72</v>
      </c>
      <c r="I964" s="7" t="s">
        <v>283</v>
      </c>
      <c r="J964" s="8">
        <f>705600/72</f>
        <v>9800</v>
      </c>
      <c r="K964" s="4" t="s">
        <v>283</v>
      </c>
      <c r="M964" s="9">
        <v>0.17</v>
      </c>
      <c r="O964" s="7" t="s">
        <v>283</v>
      </c>
      <c r="P964" s="3">
        <f>(C964+(E964*F964*H964))-N964</f>
        <v>0</v>
      </c>
      <c r="Q964" s="7" t="s">
        <v>283</v>
      </c>
      <c r="R964" s="8">
        <f>P964*(J964-(J964*L964)-((J964-(J964*L964))*M964))</f>
        <v>0</v>
      </c>
      <c r="S964" s="8">
        <f t="shared" si="199"/>
        <v>0</v>
      </c>
    </row>
    <row r="965" spans="1:19">
      <c r="A965" s="17" t="s">
        <v>841</v>
      </c>
      <c r="B965" s="2" t="s">
        <v>25</v>
      </c>
      <c r="D965" s="4" t="s">
        <v>283</v>
      </c>
      <c r="F965" s="6">
        <v>1</v>
      </c>
      <c r="G965" s="7" t="s">
        <v>20</v>
      </c>
      <c r="H965" s="6">
        <v>72</v>
      </c>
      <c r="I965" s="7" t="s">
        <v>283</v>
      </c>
      <c r="J965" s="8">
        <f>705600/72</f>
        <v>9800</v>
      </c>
      <c r="K965" s="4" t="s">
        <v>283</v>
      </c>
      <c r="M965" s="9">
        <v>0.17</v>
      </c>
      <c r="O965" s="7" t="s">
        <v>283</v>
      </c>
      <c r="P965" s="3">
        <f>(C965+(E965*F965*H965))-N965</f>
        <v>0</v>
      </c>
      <c r="Q965" s="7" t="s">
        <v>283</v>
      </c>
      <c r="R965" s="8">
        <f>P965*(J965-(J965*L965)-((J965-(J965*L965))*M965))</f>
        <v>0</v>
      </c>
      <c r="S965" s="8">
        <f t="shared" si="199"/>
        <v>0</v>
      </c>
    </row>
    <row r="967" spans="1:19">
      <c r="A967" s="15" t="s">
        <v>635</v>
      </c>
      <c r="S967" s="8">
        <f t="shared" si="199"/>
        <v>0</v>
      </c>
    </row>
    <row r="968" spans="1:19" s="19" customFormat="1">
      <c r="A968" s="17" t="s">
        <v>816</v>
      </c>
      <c r="B968" s="19" t="s">
        <v>18</v>
      </c>
      <c r="C968" s="20"/>
      <c r="D968" s="21" t="s">
        <v>283</v>
      </c>
      <c r="E968" s="26"/>
      <c r="F968" s="22">
        <v>1</v>
      </c>
      <c r="G968" s="23" t="s">
        <v>20</v>
      </c>
      <c r="H968" s="22">
        <v>120</v>
      </c>
      <c r="I968" s="23" t="s">
        <v>283</v>
      </c>
      <c r="J968" s="24">
        <v>13800</v>
      </c>
      <c r="K968" s="21" t="s">
        <v>283</v>
      </c>
      <c r="L968" s="25">
        <v>0.125</v>
      </c>
      <c r="M968" s="25">
        <v>0.05</v>
      </c>
      <c r="N968" s="22"/>
      <c r="O968" s="23" t="s">
        <v>283</v>
      </c>
      <c r="P968" s="20">
        <f t="shared" ref="P968" si="210">(C968+(E968*F968*H968))-N968</f>
        <v>0</v>
      </c>
      <c r="Q968" s="23" t="s">
        <v>283</v>
      </c>
      <c r="R968" s="24">
        <f t="shared" ref="R968" si="211">P968*(J968-(J968*L968)-((J968-(J968*L968))*M968))</f>
        <v>0</v>
      </c>
      <c r="S968" s="24">
        <f t="shared" si="199"/>
        <v>0</v>
      </c>
    </row>
    <row r="969" spans="1:19" s="19" customFormat="1">
      <c r="A969" s="18"/>
      <c r="C969" s="20"/>
      <c r="D969" s="21"/>
      <c r="E969" s="26"/>
      <c r="F969" s="22"/>
      <c r="G969" s="23"/>
      <c r="H969" s="22"/>
      <c r="I969" s="23"/>
      <c r="J969" s="24"/>
      <c r="K969" s="21"/>
      <c r="L969" s="25"/>
      <c r="M969" s="25"/>
      <c r="N969" s="22"/>
      <c r="O969" s="23"/>
      <c r="P969" s="20"/>
      <c r="Q969" s="23"/>
      <c r="R969" s="24"/>
      <c r="S969" s="24"/>
    </row>
    <row r="970" spans="1:19">
      <c r="A970" s="17" t="s">
        <v>842</v>
      </c>
      <c r="B970" s="2" t="s">
        <v>25</v>
      </c>
      <c r="D970" s="4" t="s">
        <v>283</v>
      </c>
      <c r="E970" s="5">
        <v>1</v>
      </c>
      <c r="F970" s="6">
        <v>1</v>
      </c>
      <c r="G970" s="7" t="s">
        <v>20</v>
      </c>
      <c r="H970" s="6">
        <v>120</v>
      </c>
      <c r="I970" s="7" t="s">
        <v>283</v>
      </c>
      <c r="J970" s="8">
        <f>762000/120</f>
        <v>6350</v>
      </c>
      <c r="K970" s="4" t="s">
        <v>283</v>
      </c>
      <c r="M970" s="9">
        <v>0.17</v>
      </c>
      <c r="O970" s="7" t="s">
        <v>283</v>
      </c>
      <c r="P970" s="3">
        <f>(C970+(E970*F970*H970))-N970</f>
        <v>120</v>
      </c>
      <c r="Q970" s="7" t="s">
        <v>283</v>
      </c>
      <c r="R970" s="8">
        <f>P970*(J970-(J970*L970)-((J970-(J970*L970))*M970))</f>
        <v>632460</v>
      </c>
      <c r="S970" s="8">
        <f t="shared" si="199"/>
        <v>569783.78378378379</v>
      </c>
    </row>
    <row r="971" spans="1:19">
      <c r="A971" s="17" t="s">
        <v>636</v>
      </c>
      <c r="B971" s="2" t="s">
        <v>25</v>
      </c>
      <c r="D971" s="4" t="s">
        <v>283</v>
      </c>
      <c r="E971" s="5">
        <v>2</v>
      </c>
      <c r="F971" s="6">
        <v>1</v>
      </c>
      <c r="G971" s="7" t="s">
        <v>20</v>
      </c>
      <c r="H971" s="6">
        <v>80</v>
      </c>
      <c r="I971" s="7" t="s">
        <v>283</v>
      </c>
      <c r="J971" s="8">
        <f>732000/80</f>
        <v>9150</v>
      </c>
      <c r="K971" s="4" t="s">
        <v>283</v>
      </c>
      <c r="M971" s="9">
        <v>0.17</v>
      </c>
      <c r="O971" s="7" t="s">
        <v>283</v>
      </c>
      <c r="P971" s="3">
        <f>(C971+(E971*F971*H971))-N971</f>
        <v>160</v>
      </c>
      <c r="Q971" s="7" t="s">
        <v>283</v>
      </c>
      <c r="R971" s="8">
        <f>P971*(J971-(J971*L971)-((J971-(J971*L971))*M971))</f>
        <v>1215120</v>
      </c>
      <c r="S971" s="8">
        <f t="shared" si="199"/>
        <v>1094702.7027027027</v>
      </c>
    </row>
    <row r="972" spans="1:19">
      <c r="A972" s="17" t="s">
        <v>843</v>
      </c>
      <c r="B972" s="2" t="s">
        <v>25</v>
      </c>
      <c r="D972" s="4" t="s">
        <v>283</v>
      </c>
      <c r="E972" s="5">
        <v>2</v>
      </c>
      <c r="F972" s="6">
        <v>1</v>
      </c>
      <c r="G972" s="7" t="s">
        <v>20</v>
      </c>
      <c r="H972" s="6">
        <v>60</v>
      </c>
      <c r="I972" s="7" t="s">
        <v>283</v>
      </c>
      <c r="J972" s="8">
        <f>732000/60</f>
        <v>12200</v>
      </c>
      <c r="K972" s="4" t="s">
        <v>283</v>
      </c>
      <c r="M972" s="9">
        <v>0.17</v>
      </c>
      <c r="O972" s="7" t="s">
        <v>283</v>
      </c>
      <c r="P972" s="3">
        <f>(C972+(E972*F972*H972))-N972</f>
        <v>120</v>
      </c>
      <c r="Q972" s="7" t="s">
        <v>283</v>
      </c>
      <c r="R972" s="8">
        <f>P972*(J972-(J972*L972)-((J972-(J972*L972))*M972))</f>
        <v>1215120</v>
      </c>
      <c r="S972" s="8">
        <f t="shared" si="199"/>
        <v>1094702.7027027027</v>
      </c>
    </row>
    <row r="973" spans="1:19">
      <c r="A973" s="17" t="s">
        <v>660</v>
      </c>
      <c r="B973" s="2" t="s">
        <v>25</v>
      </c>
      <c r="D973" s="4" t="s">
        <v>283</v>
      </c>
      <c r="F973" s="6">
        <v>1</v>
      </c>
      <c r="G973" s="7" t="s">
        <v>20</v>
      </c>
      <c r="H973" s="6">
        <v>80</v>
      </c>
      <c r="I973" s="7" t="s">
        <v>283</v>
      </c>
      <c r="J973" s="8">
        <f>848000/80</f>
        <v>10600</v>
      </c>
      <c r="K973" s="4" t="s">
        <v>283</v>
      </c>
      <c r="M973" s="9">
        <v>0.17</v>
      </c>
      <c r="O973" s="7" t="s">
        <v>283</v>
      </c>
      <c r="P973" s="3">
        <f>(C973+(E973*F973*H973))-N973</f>
        <v>0</v>
      </c>
      <c r="Q973" s="7" t="s">
        <v>283</v>
      </c>
      <c r="R973" s="8">
        <f>P973*(J973-(J973*L973)-((J973-(J973*L973))*M973))</f>
        <v>0</v>
      </c>
      <c r="S973" s="8">
        <f t="shared" si="199"/>
        <v>0</v>
      </c>
    </row>
    <row r="974" spans="1:19">
      <c r="A974" s="17" t="s">
        <v>637</v>
      </c>
      <c r="B974" s="2" t="s">
        <v>25</v>
      </c>
      <c r="D974" s="4" t="s">
        <v>283</v>
      </c>
      <c r="F974" s="6">
        <v>1</v>
      </c>
      <c r="G974" s="7" t="s">
        <v>20</v>
      </c>
      <c r="H974" s="6">
        <v>60</v>
      </c>
      <c r="I974" s="7" t="s">
        <v>283</v>
      </c>
      <c r="J974" s="8">
        <f>852000/60</f>
        <v>14200</v>
      </c>
      <c r="K974" s="4" t="s">
        <v>283</v>
      </c>
      <c r="M974" s="9">
        <v>0.17</v>
      </c>
      <c r="O974" s="7" t="s">
        <v>283</v>
      </c>
      <c r="P974" s="3">
        <f>(C974+(E974*F974*H974))-N974</f>
        <v>0</v>
      </c>
      <c r="Q974" s="7" t="s">
        <v>283</v>
      </c>
      <c r="R974" s="8">
        <f>P974*(J974-(J974*L974)-((J974-(J974*L974))*M974))</f>
        <v>0</v>
      </c>
      <c r="S974" s="8">
        <f t="shared" si="199"/>
        <v>0</v>
      </c>
    </row>
    <row r="976" spans="1:19" ht="15.75">
      <c r="A976" s="14" t="s">
        <v>638</v>
      </c>
    </row>
    <row r="977" spans="1:19">
      <c r="A977" s="17" t="s">
        <v>640</v>
      </c>
      <c r="B977" s="2" t="s">
        <v>18</v>
      </c>
      <c r="D977" s="4" t="s">
        <v>19</v>
      </c>
      <c r="F977" s="6">
        <v>1</v>
      </c>
      <c r="G977" s="7" t="s">
        <v>20</v>
      </c>
      <c r="H977" s="6">
        <v>24</v>
      </c>
      <c r="I977" s="7" t="s">
        <v>19</v>
      </c>
      <c r="J977" s="8">
        <v>21500</v>
      </c>
      <c r="K977" s="4" t="s">
        <v>19</v>
      </c>
      <c r="L977" s="9">
        <v>0.125</v>
      </c>
      <c r="M977" s="9">
        <v>0.05</v>
      </c>
      <c r="O977" s="7" t="s">
        <v>19</v>
      </c>
      <c r="P977" s="3">
        <f t="shared" ref="P977:P989" si="212">(C977+(E977*F977*H977))-N977</f>
        <v>0</v>
      </c>
      <c r="Q977" s="7" t="s">
        <v>19</v>
      </c>
      <c r="R977" s="8">
        <f t="shared" ref="R977:R989" si="213">P977*(J977-(J977*L977)-((J977-(J977*L977))*M977))</f>
        <v>0</v>
      </c>
      <c r="S977" s="8">
        <f t="shared" si="199"/>
        <v>0</v>
      </c>
    </row>
    <row r="978" spans="1:19">
      <c r="A978" s="91" t="s">
        <v>641</v>
      </c>
      <c r="B978" s="2" t="s">
        <v>18</v>
      </c>
      <c r="D978" s="4" t="s">
        <v>19</v>
      </c>
      <c r="E978" s="5">
        <v>1</v>
      </c>
      <c r="F978" s="6">
        <v>1</v>
      </c>
      <c r="G978" s="7" t="s">
        <v>20</v>
      </c>
      <c r="H978" s="6">
        <v>24</v>
      </c>
      <c r="I978" s="7" t="s">
        <v>19</v>
      </c>
      <c r="J978" s="94">
        <v>24300</v>
      </c>
      <c r="K978" s="4" t="s">
        <v>19</v>
      </c>
      <c r="L978" s="9">
        <v>0.125</v>
      </c>
      <c r="M978" s="9">
        <v>0.05</v>
      </c>
      <c r="O978" s="7" t="s">
        <v>19</v>
      </c>
      <c r="P978" s="3">
        <f t="shared" ref="P978" si="214">(C978+(E978*F978*H978))-N978</f>
        <v>24</v>
      </c>
      <c r="Q978" s="7" t="s">
        <v>19</v>
      </c>
      <c r="R978" s="8">
        <f t="shared" ref="R978" si="215">P978*(J978-(J978*L978)-((J978-(J978*L978))*M978))</f>
        <v>484785</v>
      </c>
      <c r="S978" s="8">
        <f t="shared" ref="S978" si="216">R978/1.11</f>
        <v>436743.2432432432</v>
      </c>
    </row>
    <row r="979" spans="1:19">
      <c r="A979" s="17" t="s">
        <v>641</v>
      </c>
      <c r="B979" s="2" t="s">
        <v>18</v>
      </c>
      <c r="D979" s="4" t="s">
        <v>19</v>
      </c>
      <c r="F979" s="6">
        <v>1</v>
      </c>
      <c r="G979" s="7" t="s">
        <v>20</v>
      </c>
      <c r="H979" s="6">
        <v>24</v>
      </c>
      <c r="I979" s="7" t="s">
        <v>19</v>
      </c>
      <c r="J979" s="8">
        <v>23100</v>
      </c>
      <c r="K979" s="4" t="s">
        <v>19</v>
      </c>
      <c r="L979" s="9">
        <v>0.125</v>
      </c>
      <c r="M979" s="9">
        <v>0.05</v>
      </c>
      <c r="O979" s="7" t="s">
        <v>19</v>
      </c>
      <c r="P979" s="3">
        <f t="shared" si="212"/>
        <v>0</v>
      </c>
      <c r="Q979" s="7" t="s">
        <v>19</v>
      </c>
      <c r="R979" s="8">
        <f t="shared" si="213"/>
        <v>0</v>
      </c>
      <c r="S979" s="8">
        <f t="shared" si="199"/>
        <v>0</v>
      </c>
    </row>
    <row r="980" spans="1:19" s="19" customFormat="1">
      <c r="A980" s="18" t="s">
        <v>642</v>
      </c>
      <c r="B980" s="19" t="s">
        <v>18</v>
      </c>
      <c r="C980" s="20"/>
      <c r="D980" s="21" t="s">
        <v>19</v>
      </c>
      <c r="E980" s="26"/>
      <c r="F980" s="22">
        <v>1</v>
      </c>
      <c r="G980" s="23" t="s">
        <v>20</v>
      </c>
      <c r="H980" s="22">
        <v>24</v>
      </c>
      <c r="I980" s="23" t="s">
        <v>19</v>
      </c>
      <c r="J980" s="24">
        <v>10600</v>
      </c>
      <c r="K980" s="21" t="s">
        <v>19</v>
      </c>
      <c r="L980" s="25">
        <v>0.125</v>
      </c>
      <c r="M980" s="25">
        <v>0.05</v>
      </c>
      <c r="N980" s="22"/>
      <c r="O980" s="23" t="s">
        <v>19</v>
      </c>
      <c r="P980" s="20">
        <f t="shared" si="212"/>
        <v>0</v>
      </c>
      <c r="Q980" s="23" t="s">
        <v>19</v>
      </c>
      <c r="R980" s="24">
        <f t="shared" si="213"/>
        <v>0</v>
      </c>
      <c r="S980" s="24">
        <f t="shared" si="199"/>
        <v>0</v>
      </c>
    </row>
    <row r="981" spans="1:19" s="19" customFormat="1">
      <c r="A981" s="18" t="s">
        <v>643</v>
      </c>
      <c r="B981" s="19" t="s">
        <v>18</v>
      </c>
      <c r="C981" s="20"/>
      <c r="D981" s="21" t="s">
        <v>19</v>
      </c>
      <c r="E981" s="26">
        <v>6</v>
      </c>
      <c r="F981" s="22">
        <v>1</v>
      </c>
      <c r="G981" s="23" t="s">
        <v>20</v>
      </c>
      <c r="H981" s="22">
        <v>24</v>
      </c>
      <c r="I981" s="23" t="s">
        <v>19</v>
      </c>
      <c r="J981" s="24">
        <v>19000</v>
      </c>
      <c r="K981" s="21" t="s">
        <v>19</v>
      </c>
      <c r="L981" s="25">
        <v>0.125</v>
      </c>
      <c r="M981" s="25">
        <v>0.05</v>
      </c>
      <c r="N981" s="22"/>
      <c r="O981" s="23" t="s">
        <v>19</v>
      </c>
      <c r="P981" s="20">
        <f t="shared" si="212"/>
        <v>144</v>
      </c>
      <c r="Q981" s="23" t="s">
        <v>19</v>
      </c>
      <c r="R981" s="24">
        <f t="shared" si="213"/>
        <v>2274300</v>
      </c>
      <c r="S981" s="24">
        <f t="shared" si="199"/>
        <v>2048918.9189189188</v>
      </c>
    </row>
    <row r="982" spans="1:19" s="19" customFormat="1">
      <c r="A982" s="18" t="s">
        <v>758</v>
      </c>
      <c r="B982" s="19" t="s">
        <v>18</v>
      </c>
      <c r="C982" s="20"/>
      <c r="D982" s="21" t="s">
        <v>19</v>
      </c>
      <c r="E982" s="26">
        <v>1</v>
      </c>
      <c r="F982" s="22">
        <v>1</v>
      </c>
      <c r="G982" s="23" t="s">
        <v>20</v>
      </c>
      <c r="H982" s="22">
        <v>12</v>
      </c>
      <c r="I982" s="23" t="s">
        <v>19</v>
      </c>
      <c r="J982" s="24">
        <v>31000</v>
      </c>
      <c r="K982" s="21" t="s">
        <v>19</v>
      </c>
      <c r="L982" s="25">
        <v>0.125</v>
      </c>
      <c r="M982" s="25">
        <v>0.05</v>
      </c>
      <c r="N982" s="22"/>
      <c r="O982" s="23" t="s">
        <v>19</v>
      </c>
      <c r="P982" s="20">
        <f t="shared" si="212"/>
        <v>12</v>
      </c>
      <c r="Q982" s="23" t="s">
        <v>19</v>
      </c>
      <c r="R982" s="24">
        <f t="shared" si="213"/>
        <v>309225</v>
      </c>
      <c r="S982" s="24">
        <f t="shared" si="199"/>
        <v>278581.08108108107</v>
      </c>
    </row>
    <row r="983" spans="1:19" s="19" customFormat="1">
      <c r="A983" s="18" t="s">
        <v>757</v>
      </c>
      <c r="B983" s="19" t="s">
        <v>18</v>
      </c>
      <c r="C983" s="20"/>
      <c r="D983" s="21" t="s">
        <v>19</v>
      </c>
      <c r="E983" s="26"/>
      <c r="F983" s="22">
        <v>1</v>
      </c>
      <c r="G983" s="23" t="s">
        <v>20</v>
      </c>
      <c r="H983" s="22">
        <v>24</v>
      </c>
      <c r="I983" s="23" t="s">
        <v>19</v>
      </c>
      <c r="J983" s="24">
        <v>12300</v>
      </c>
      <c r="K983" s="21" t="s">
        <v>19</v>
      </c>
      <c r="L983" s="25">
        <v>0.125</v>
      </c>
      <c r="M983" s="25">
        <v>0.05</v>
      </c>
      <c r="N983" s="22"/>
      <c r="O983" s="23" t="s">
        <v>19</v>
      </c>
      <c r="P983" s="20">
        <f t="shared" si="212"/>
        <v>0</v>
      </c>
      <c r="Q983" s="23" t="s">
        <v>19</v>
      </c>
      <c r="R983" s="24">
        <f t="shared" si="213"/>
        <v>0</v>
      </c>
      <c r="S983" s="8">
        <f t="shared" si="199"/>
        <v>0</v>
      </c>
    </row>
    <row r="984" spans="1:19" s="19" customFormat="1">
      <c r="A984" s="18" t="s">
        <v>863</v>
      </c>
      <c r="B984" s="19" t="s">
        <v>18</v>
      </c>
      <c r="C984" s="20"/>
      <c r="D984" s="21" t="s">
        <v>19</v>
      </c>
      <c r="E984" s="26">
        <v>1</v>
      </c>
      <c r="F984" s="22">
        <v>1</v>
      </c>
      <c r="G984" s="23" t="s">
        <v>20</v>
      </c>
      <c r="H984" s="22">
        <v>24</v>
      </c>
      <c r="I984" s="23" t="s">
        <v>19</v>
      </c>
      <c r="J984" s="24">
        <v>16500</v>
      </c>
      <c r="K984" s="21" t="s">
        <v>19</v>
      </c>
      <c r="L984" s="25">
        <v>0.125</v>
      </c>
      <c r="M984" s="25">
        <v>0.05</v>
      </c>
      <c r="N984" s="22"/>
      <c r="O984" s="23" t="s">
        <v>19</v>
      </c>
      <c r="P984" s="20">
        <f t="shared" si="212"/>
        <v>24</v>
      </c>
      <c r="Q984" s="23" t="s">
        <v>19</v>
      </c>
      <c r="R984" s="24">
        <f t="shared" si="213"/>
        <v>329175</v>
      </c>
      <c r="S984" s="8">
        <f t="shared" si="199"/>
        <v>296554.05405405402</v>
      </c>
    </row>
    <row r="985" spans="1:19">
      <c r="A985" s="17" t="s">
        <v>639</v>
      </c>
      <c r="B985" s="2" t="s">
        <v>18</v>
      </c>
      <c r="D985" s="4" t="s">
        <v>19</v>
      </c>
      <c r="F985" s="6">
        <v>1</v>
      </c>
      <c r="G985" s="7" t="s">
        <v>20</v>
      </c>
      <c r="H985" s="6">
        <v>24</v>
      </c>
      <c r="I985" s="7" t="s">
        <v>19</v>
      </c>
      <c r="J985" s="8">
        <v>17200</v>
      </c>
      <c r="K985" s="4" t="s">
        <v>19</v>
      </c>
      <c r="L985" s="9">
        <v>0.125</v>
      </c>
      <c r="M985" s="9">
        <v>0.05</v>
      </c>
      <c r="O985" s="7" t="s">
        <v>19</v>
      </c>
      <c r="P985" s="3">
        <f t="shared" si="212"/>
        <v>0</v>
      </c>
      <c r="Q985" s="7" t="s">
        <v>19</v>
      </c>
      <c r="R985" s="8">
        <f t="shared" si="213"/>
        <v>0</v>
      </c>
      <c r="S985" s="8">
        <f>R985/1.11</f>
        <v>0</v>
      </c>
    </row>
    <row r="986" spans="1:19" s="19" customFormat="1">
      <c r="A986" s="18" t="s">
        <v>654</v>
      </c>
      <c r="B986" s="19" t="s">
        <v>18</v>
      </c>
      <c r="C986" s="20"/>
      <c r="D986" s="21" t="s">
        <v>19</v>
      </c>
      <c r="E986" s="26"/>
      <c r="F986" s="22">
        <v>12</v>
      </c>
      <c r="G986" s="23" t="s">
        <v>33</v>
      </c>
      <c r="H986" s="22">
        <v>20</v>
      </c>
      <c r="I986" s="23" t="s">
        <v>19</v>
      </c>
      <c r="J986" s="24">
        <v>5150</v>
      </c>
      <c r="K986" s="21" t="s">
        <v>19</v>
      </c>
      <c r="L986" s="25">
        <v>0.125</v>
      </c>
      <c r="M986" s="25">
        <v>0.05</v>
      </c>
      <c r="N986" s="22"/>
      <c r="O986" s="23" t="s">
        <v>19</v>
      </c>
      <c r="P986" s="20">
        <f t="shared" si="212"/>
        <v>0</v>
      </c>
      <c r="Q986" s="23" t="s">
        <v>19</v>
      </c>
      <c r="R986" s="24">
        <f t="shared" si="213"/>
        <v>0</v>
      </c>
      <c r="S986" s="24">
        <f t="shared" ref="S986" si="217">R986/1.11</f>
        <v>0</v>
      </c>
    </row>
    <row r="987" spans="1:19" s="19" customFormat="1">
      <c r="A987" s="18" t="s">
        <v>644</v>
      </c>
      <c r="B987" s="19" t="s">
        <v>18</v>
      </c>
      <c r="C987" s="20"/>
      <c r="D987" s="21" t="s">
        <v>19</v>
      </c>
      <c r="E987" s="26"/>
      <c r="F987" s="22">
        <v>1</v>
      </c>
      <c r="G987" s="23" t="s">
        <v>20</v>
      </c>
      <c r="H987" s="22">
        <v>96</v>
      </c>
      <c r="I987" s="23" t="s">
        <v>19</v>
      </c>
      <c r="J987" s="24">
        <v>14200</v>
      </c>
      <c r="K987" s="21" t="s">
        <v>19</v>
      </c>
      <c r="L987" s="25">
        <v>0.125</v>
      </c>
      <c r="M987" s="25">
        <v>0.05</v>
      </c>
      <c r="N987" s="22"/>
      <c r="O987" s="23" t="s">
        <v>19</v>
      </c>
      <c r="P987" s="20">
        <f t="shared" si="212"/>
        <v>0</v>
      </c>
      <c r="Q987" s="23" t="s">
        <v>19</v>
      </c>
      <c r="R987" s="24">
        <f t="shared" si="213"/>
        <v>0</v>
      </c>
      <c r="S987" s="24">
        <f t="shared" si="199"/>
        <v>0</v>
      </c>
    </row>
    <row r="988" spans="1:19">
      <c r="A988" s="17" t="s">
        <v>645</v>
      </c>
      <c r="B988" s="2" t="s">
        <v>18</v>
      </c>
      <c r="D988" s="4" t="s">
        <v>19</v>
      </c>
      <c r="F988" s="6">
        <v>1</v>
      </c>
      <c r="G988" s="7" t="s">
        <v>20</v>
      </c>
      <c r="H988" s="6">
        <v>24</v>
      </c>
      <c r="I988" s="7" t="s">
        <v>19</v>
      </c>
      <c r="J988" s="8">
        <v>41000</v>
      </c>
      <c r="K988" s="4" t="s">
        <v>19</v>
      </c>
      <c r="L988" s="9">
        <v>0.125</v>
      </c>
      <c r="M988" s="9">
        <v>0.05</v>
      </c>
      <c r="O988" s="7" t="s">
        <v>19</v>
      </c>
      <c r="P988" s="3">
        <f t="shared" si="212"/>
        <v>0</v>
      </c>
      <c r="Q988" s="7" t="s">
        <v>19</v>
      </c>
      <c r="R988" s="8">
        <f t="shared" si="213"/>
        <v>0</v>
      </c>
      <c r="S988" s="8">
        <f t="shared" si="199"/>
        <v>0</v>
      </c>
    </row>
    <row r="989" spans="1:19">
      <c r="A989" s="17" t="s">
        <v>646</v>
      </c>
      <c r="B989" s="2" t="s">
        <v>18</v>
      </c>
      <c r="D989" s="4" t="s">
        <v>19</v>
      </c>
      <c r="F989" s="6">
        <v>1</v>
      </c>
      <c r="G989" s="7" t="s">
        <v>20</v>
      </c>
      <c r="H989" s="6">
        <v>100</v>
      </c>
      <c r="I989" s="7" t="s">
        <v>19</v>
      </c>
      <c r="J989" s="8">
        <v>15500</v>
      </c>
      <c r="K989" s="4" t="s">
        <v>19</v>
      </c>
      <c r="L989" s="9">
        <v>0.125</v>
      </c>
      <c r="M989" s="9">
        <v>0.05</v>
      </c>
      <c r="O989" s="7" t="s">
        <v>19</v>
      </c>
      <c r="P989" s="3">
        <f t="shared" si="212"/>
        <v>0</v>
      </c>
      <c r="Q989" s="7" t="s">
        <v>19</v>
      </c>
      <c r="R989" s="8">
        <f t="shared" si="213"/>
        <v>0</v>
      </c>
      <c r="S989" s="8">
        <f t="shared" si="199"/>
        <v>0</v>
      </c>
    </row>
    <row r="991" spans="1:19" s="19" customFormat="1">
      <c r="A991" s="66" t="s">
        <v>683</v>
      </c>
      <c r="B991" s="19" t="s">
        <v>25</v>
      </c>
      <c r="C991" s="20"/>
      <c r="D991" s="21" t="s">
        <v>19</v>
      </c>
      <c r="E991" s="26"/>
      <c r="F991" s="22">
        <v>1</v>
      </c>
      <c r="G991" s="23" t="s">
        <v>20</v>
      </c>
      <c r="H991" s="22">
        <v>24</v>
      </c>
      <c r="I991" s="23" t="s">
        <v>19</v>
      </c>
      <c r="J991" s="24">
        <f>372000/24</f>
        <v>15500</v>
      </c>
      <c r="K991" s="21" t="s">
        <v>19</v>
      </c>
      <c r="L991" s="25"/>
      <c r="M991" s="25">
        <v>0.17</v>
      </c>
      <c r="N991" s="22"/>
      <c r="O991" s="23" t="s">
        <v>19</v>
      </c>
      <c r="P991" s="20">
        <f t="shared" ref="P991:P999" si="218">(C991+(E991*F991*H991))-N991</f>
        <v>0</v>
      </c>
      <c r="Q991" s="23" t="s">
        <v>19</v>
      </c>
      <c r="R991" s="24">
        <f t="shared" ref="R991:R999" si="219">P991*(J991-(J991*L991)-((J991-(J991*L991))*M991))</f>
        <v>0</v>
      </c>
      <c r="S991" s="24">
        <f t="shared" si="199"/>
        <v>0</v>
      </c>
    </row>
    <row r="992" spans="1:19">
      <c r="A992" s="66" t="s">
        <v>647</v>
      </c>
      <c r="B992" s="2" t="s">
        <v>25</v>
      </c>
      <c r="D992" s="4" t="s">
        <v>19</v>
      </c>
      <c r="F992" s="6">
        <v>1</v>
      </c>
      <c r="G992" s="7" t="s">
        <v>20</v>
      </c>
      <c r="H992" s="6">
        <v>24</v>
      </c>
      <c r="I992" s="7" t="s">
        <v>19</v>
      </c>
      <c r="J992" s="8">
        <f>444000/24</f>
        <v>18500</v>
      </c>
      <c r="K992" s="4" t="s">
        <v>19</v>
      </c>
      <c r="M992" s="9">
        <v>0.17</v>
      </c>
      <c r="O992" s="7" t="s">
        <v>19</v>
      </c>
      <c r="P992" s="3">
        <f t="shared" si="218"/>
        <v>0</v>
      </c>
      <c r="Q992" s="7" t="s">
        <v>19</v>
      </c>
      <c r="R992" s="8">
        <f t="shared" si="219"/>
        <v>0</v>
      </c>
      <c r="S992" s="8">
        <f t="shared" si="199"/>
        <v>0</v>
      </c>
    </row>
    <row r="993" spans="1:19" s="19" customFormat="1">
      <c r="A993" s="66" t="s">
        <v>648</v>
      </c>
      <c r="B993" s="19" t="s">
        <v>25</v>
      </c>
      <c r="C993" s="20"/>
      <c r="D993" s="21" t="s">
        <v>19</v>
      </c>
      <c r="E993" s="26">
        <v>8</v>
      </c>
      <c r="F993" s="22">
        <v>1</v>
      </c>
      <c r="G993" s="23" t="s">
        <v>20</v>
      </c>
      <c r="H993" s="22">
        <v>24</v>
      </c>
      <c r="I993" s="23" t="s">
        <v>19</v>
      </c>
      <c r="J993" s="24">
        <f>462000/24</f>
        <v>19250</v>
      </c>
      <c r="K993" s="21" t="s">
        <v>19</v>
      </c>
      <c r="L993" s="25"/>
      <c r="M993" s="25">
        <v>0.17</v>
      </c>
      <c r="N993" s="22"/>
      <c r="O993" s="23" t="s">
        <v>19</v>
      </c>
      <c r="P993" s="20">
        <f t="shared" si="218"/>
        <v>192</v>
      </c>
      <c r="Q993" s="23" t="s">
        <v>19</v>
      </c>
      <c r="R993" s="24">
        <f t="shared" si="219"/>
        <v>3067680</v>
      </c>
      <c r="S993" s="8">
        <f t="shared" si="199"/>
        <v>2763675.6756756753</v>
      </c>
    </row>
    <row r="994" spans="1:19" s="19" customFormat="1">
      <c r="A994" s="66" t="s">
        <v>715</v>
      </c>
      <c r="B994" s="19" t="s">
        <v>25</v>
      </c>
      <c r="C994" s="20"/>
      <c r="D994" s="21" t="s">
        <v>19</v>
      </c>
      <c r="E994" s="26"/>
      <c r="F994" s="22">
        <v>1</v>
      </c>
      <c r="G994" s="23" t="s">
        <v>20</v>
      </c>
      <c r="H994" s="22">
        <v>24</v>
      </c>
      <c r="I994" s="23" t="s">
        <v>19</v>
      </c>
      <c r="J994" s="24">
        <f>462000/24</f>
        <v>19250</v>
      </c>
      <c r="K994" s="21" t="s">
        <v>19</v>
      </c>
      <c r="L994" s="25"/>
      <c r="M994" s="25">
        <v>0.17</v>
      </c>
      <c r="N994" s="22"/>
      <c r="O994" s="23" t="s">
        <v>19</v>
      </c>
      <c r="P994" s="20">
        <f t="shared" si="218"/>
        <v>0</v>
      </c>
      <c r="Q994" s="23" t="s">
        <v>19</v>
      </c>
      <c r="R994" s="24">
        <f t="shared" si="219"/>
        <v>0</v>
      </c>
      <c r="S994" s="8">
        <f t="shared" si="199"/>
        <v>0</v>
      </c>
    </row>
    <row r="995" spans="1:19">
      <c r="A995" s="66" t="s">
        <v>649</v>
      </c>
      <c r="B995" s="2" t="s">
        <v>25</v>
      </c>
      <c r="D995" s="4" t="s">
        <v>19</v>
      </c>
      <c r="F995" s="6">
        <v>1</v>
      </c>
      <c r="G995" s="7" t="s">
        <v>20</v>
      </c>
      <c r="H995" s="6">
        <v>24</v>
      </c>
      <c r="I995" s="7" t="s">
        <v>19</v>
      </c>
      <c r="J995" s="8">
        <v>17250</v>
      </c>
      <c r="K995" s="4" t="s">
        <v>19</v>
      </c>
      <c r="M995" s="9">
        <v>0.17</v>
      </c>
      <c r="O995" s="7" t="s">
        <v>19</v>
      </c>
      <c r="P995" s="3">
        <f t="shared" si="218"/>
        <v>0</v>
      </c>
      <c r="Q995" s="7" t="s">
        <v>19</v>
      </c>
      <c r="R995" s="8">
        <f t="shared" si="219"/>
        <v>0</v>
      </c>
      <c r="S995" s="8">
        <f t="shared" si="199"/>
        <v>0</v>
      </c>
    </row>
    <row r="996" spans="1:19">
      <c r="A996" s="66" t="s">
        <v>718</v>
      </c>
      <c r="B996" s="2" t="s">
        <v>25</v>
      </c>
      <c r="D996" s="4" t="s">
        <v>19</v>
      </c>
      <c r="F996" s="6">
        <v>1</v>
      </c>
      <c r="G996" s="7" t="s">
        <v>20</v>
      </c>
      <c r="H996" s="6">
        <v>24</v>
      </c>
      <c r="I996" s="7" t="s">
        <v>19</v>
      </c>
      <c r="J996" s="8">
        <f>420000/24</f>
        <v>17500</v>
      </c>
      <c r="K996" s="4" t="s">
        <v>19</v>
      </c>
      <c r="M996" s="9">
        <v>0.17</v>
      </c>
      <c r="O996" s="7" t="s">
        <v>19</v>
      </c>
      <c r="P996" s="3">
        <f t="shared" si="218"/>
        <v>0</v>
      </c>
      <c r="Q996" s="7" t="s">
        <v>19</v>
      </c>
      <c r="R996" s="8">
        <f t="shared" si="219"/>
        <v>0</v>
      </c>
      <c r="S996" s="8">
        <f t="shared" si="199"/>
        <v>0</v>
      </c>
    </row>
    <row r="997" spans="1:19">
      <c r="A997" s="66" t="s">
        <v>650</v>
      </c>
      <c r="B997" s="2" t="s">
        <v>25</v>
      </c>
      <c r="D997" s="4" t="s">
        <v>19</v>
      </c>
      <c r="F997" s="6">
        <v>1</v>
      </c>
      <c r="G997" s="7" t="s">
        <v>20</v>
      </c>
      <c r="H997" s="6">
        <v>12</v>
      </c>
      <c r="I997" s="7" t="s">
        <v>19</v>
      </c>
      <c r="J997" s="8">
        <f>342000/12</f>
        <v>28500</v>
      </c>
      <c r="K997" s="4" t="s">
        <v>19</v>
      </c>
      <c r="M997" s="9">
        <v>0.17</v>
      </c>
      <c r="O997" s="7" t="s">
        <v>19</v>
      </c>
      <c r="P997" s="3">
        <f t="shared" si="218"/>
        <v>0</v>
      </c>
      <c r="Q997" s="7" t="s">
        <v>19</v>
      </c>
      <c r="R997" s="8">
        <f t="shared" si="219"/>
        <v>0</v>
      </c>
      <c r="S997" s="8">
        <f t="shared" si="199"/>
        <v>0</v>
      </c>
    </row>
    <row r="998" spans="1:19">
      <c r="A998" s="66" t="s">
        <v>651</v>
      </c>
      <c r="B998" s="2" t="s">
        <v>25</v>
      </c>
      <c r="C998" s="20"/>
      <c r="D998" s="4" t="s">
        <v>19</v>
      </c>
      <c r="F998" s="6">
        <v>1</v>
      </c>
      <c r="G998" s="7" t="s">
        <v>20</v>
      </c>
      <c r="H998" s="6">
        <v>12</v>
      </c>
      <c r="I998" s="7" t="s">
        <v>19</v>
      </c>
      <c r="J998" s="8">
        <f>348000/12</f>
        <v>29000</v>
      </c>
      <c r="K998" s="4" t="s">
        <v>19</v>
      </c>
      <c r="M998" s="9">
        <v>0.17</v>
      </c>
      <c r="O998" s="7" t="s">
        <v>19</v>
      </c>
      <c r="P998" s="3">
        <f t="shared" si="218"/>
        <v>0</v>
      </c>
      <c r="Q998" s="7" t="s">
        <v>19</v>
      </c>
      <c r="R998" s="8">
        <f t="shared" si="219"/>
        <v>0</v>
      </c>
      <c r="S998" s="8">
        <f t="shared" si="199"/>
        <v>0</v>
      </c>
    </row>
    <row r="999" spans="1:19">
      <c r="A999" s="66" t="s">
        <v>663</v>
      </c>
      <c r="B999" s="2" t="s">
        <v>25</v>
      </c>
      <c r="C999" s="20"/>
      <c r="D999" s="4" t="s">
        <v>19</v>
      </c>
      <c r="F999" s="6">
        <v>8</v>
      </c>
      <c r="G999" s="7" t="s">
        <v>41</v>
      </c>
      <c r="H999" s="6">
        <v>12</v>
      </c>
      <c r="I999" s="7" t="s">
        <v>19</v>
      </c>
      <c r="J999" s="8">
        <f>2112000/8/12</f>
        <v>22000</v>
      </c>
      <c r="K999" s="4" t="s">
        <v>19</v>
      </c>
      <c r="M999" s="9">
        <v>0.17</v>
      </c>
      <c r="O999" s="7" t="s">
        <v>19</v>
      </c>
      <c r="P999" s="3">
        <f t="shared" si="218"/>
        <v>0</v>
      </c>
      <c r="Q999" s="7" t="s">
        <v>19</v>
      </c>
      <c r="R999" s="8">
        <f t="shared" si="219"/>
        <v>0</v>
      </c>
      <c r="S999" s="8">
        <f t="shared" si="199"/>
        <v>0</v>
      </c>
    </row>
    <row r="1000" spans="1:19">
      <c r="A1000" s="66"/>
      <c r="C1000" s="20"/>
    </row>
    <row r="1001" spans="1:19" s="19" customFormat="1">
      <c r="A1001" s="66" t="s">
        <v>652</v>
      </c>
      <c r="B1001" s="19" t="s">
        <v>187</v>
      </c>
      <c r="C1001" s="20"/>
      <c r="D1001" s="21" t="s">
        <v>41</v>
      </c>
      <c r="E1001" s="26"/>
      <c r="F1001" s="22">
        <v>48</v>
      </c>
      <c r="G1001" s="23" t="s">
        <v>33</v>
      </c>
      <c r="H1001" s="22">
        <v>1</v>
      </c>
      <c r="I1001" s="23" t="s">
        <v>41</v>
      </c>
      <c r="J1001" s="24">
        <v>91000</v>
      </c>
      <c r="K1001" s="21" t="s">
        <v>41</v>
      </c>
      <c r="L1001" s="25"/>
      <c r="M1001" s="25"/>
      <c r="N1001" s="22"/>
      <c r="O1001" s="23" t="s">
        <v>41</v>
      </c>
      <c r="P1001" s="20">
        <f>(C1001+(E1001*F1001*H1001))-N1001</f>
        <v>0</v>
      </c>
      <c r="Q1001" s="23" t="s">
        <v>41</v>
      </c>
      <c r="R1001" s="24">
        <f>P1001*(J1001-(J1001*L1001)-((J1001-(J1001*L1001))*M1001))</f>
        <v>0</v>
      </c>
      <c r="S1001" s="8">
        <f t="shared" ref="S1001:S1003" si="220">R1001/1.11</f>
        <v>0</v>
      </c>
    </row>
    <row r="1002" spans="1:19" s="19" customFormat="1">
      <c r="A1002" s="66"/>
      <c r="C1002" s="20"/>
      <c r="D1002" s="21"/>
      <c r="E1002" s="26"/>
      <c r="F1002" s="22"/>
      <c r="G1002" s="23"/>
      <c r="H1002" s="22"/>
      <c r="I1002" s="23"/>
      <c r="J1002" s="24"/>
      <c r="K1002" s="21"/>
      <c r="L1002" s="25"/>
      <c r="M1002" s="25"/>
      <c r="N1002" s="22"/>
      <c r="O1002" s="23"/>
      <c r="P1002" s="20"/>
      <c r="Q1002" s="23"/>
      <c r="R1002" s="24"/>
      <c r="S1002" s="8"/>
    </row>
    <row r="1003" spans="1:19">
      <c r="A1003" s="66" t="s">
        <v>653</v>
      </c>
      <c r="B1003" s="2" t="s">
        <v>604</v>
      </c>
      <c r="C1003" s="20"/>
      <c r="D1003" s="4" t="s">
        <v>19</v>
      </c>
      <c r="F1003" s="6">
        <v>1</v>
      </c>
      <c r="G1003" s="7" t="s">
        <v>20</v>
      </c>
      <c r="H1003" s="6">
        <v>24</v>
      </c>
      <c r="I1003" s="7" t="s">
        <v>19</v>
      </c>
      <c r="J1003" s="8">
        <v>18200</v>
      </c>
      <c r="K1003" s="4" t="s">
        <v>19</v>
      </c>
      <c r="L1003" s="9">
        <v>0.15</v>
      </c>
      <c r="M1003" s="9">
        <v>0.03</v>
      </c>
      <c r="O1003" s="7" t="s">
        <v>19</v>
      </c>
      <c r="P1003" s="3">
        <f>(C1003+(E1003*F1003*H1003))-N1003</f>
        <v>0</v>
      </c>
      <c r="Q1003" s="7" t="s">
        <v>19</v>
      </c>
      <c r="R1003" s="8">
        <f>P1003*(J1003-(J1003*L1003)-((J1003-(J1003*L1003))*M1003))</f>
        <v>0</v>
      </c>
      <c r="S1003" s="8">
        <f t="shared" si="220"/>
        <v>0</v>
      </c>
    </row>
    <row r="1004" spans="1:19">
      <c r="C1004" s="20"/>
    </row>
    <row r="1005" spans="1:19" ht="15.75">
      <c r="A1005" s="14" t="s">
        <v>657</v>
      </c>
      <c r="C1005" s="20"/>
    </row>
    <row r="1006" spans="1:19" s="19" customFormat="1">
      <c r="A1006" s="18" t="s">
        <v>658</v>
      </c>
      <c r="B1006" s="19" t="s">
        <v>18</v>
      </c>
      <c r="C1006" s="20"/>
      <c r="D1006" s="21" t="s">
        <v>19</v>
      </c>
      <c r="E1006" s="26"/>
      <c r="F1006" s="22">
        <v>1</v>
      </c>
      <c r="G1006" s="23" t="s">
        <v>20</v>
      </c>
      <c r="H1006" s="22">
        <v>100</v>
      </c>
      <c r="I1006" s="23" t="s">
        <v>19</v>
      </c>
      <c r="J1006" s="24">
        <v>8400</v>
      </c>
      <c r="K1006" s="21" t="s">
        <v>19</v>
      </c>
      <c r="L1006" s="25">
        <v>0.125</v>
      </c>
      <c r="M1006" s="25">
        <v>0.05</v>
      </c>
      <c r="N1006" s="22"/>
      <c r="O1006" s="23" t="s">
        <v>19</v>
      </c>
      <c r="P1006" s="20">
        <f>(C1006+(E1006*F1006*H1006))-N1006</f>
        <v>0</v>
      </c>
      <c r="Q1006" s="23" t="s">
        <v>19</v>
      </c>
      <c r="R1006" s="24">
        <f>P1006*(J1006-(J1006*L1006)-((J1006-(J1006*L1006))*M1006))</f>
        <v>0</v>
      </c>
      <c r="S1006" s="24">
        <f t="shared" ref="S1006" si="221">R1006/1.11</f>
        <v>0</v>
      </c>
    </row>
    <row r="1007" spans="1:19">
      <c r="C1007" s="20"/>
    </row>
    <row r="1008" spans="1:19" ht="15.75">
      <c r="A1008" s="14" t="s">
        <v>832</v>
      </c>
      <c r="C1008" s="20"/>
    </row>
    <row r="1009" spans="1:21" s="19" customFormat="1">
      <c r="A1009" s="18" t="s">
        <v>844</v>
      </c>
      <c r="B1009" s="19" t="s">
        <v>47</v>
      </c>
      <c r="C1009" s="20"/>
      <c r="D1009" s="21" t="s">
        <v>19</v>
      </c>
      <c r="E1009" s="26"/>
      <c r="F1009" s="22">
        <v>4</v>
      </c>
      <c r="G1009" s="23" t="s">
        <v>33</v>
      </c>
      <c r="H1009" s="22">
        <v>12</v>
      </c>
      <c r="I1009" s="23" t="s">
        <v>19</v>
      </c>
      <c r="J1009" s="24"/>
      <c r="K1009" s="21" t="s">
        <v>19</v>
      </c>
      <c r="L1009" s="25">
        <v>0.1</v>
      </c>
      <c r="M1009" s="25">
        <v>0.05</v>
      </c>
      <c r="N1009" s="22"/>
      <c r="O1009" s="23" t="s">
        <v>19</v>
      </c>
      <c r="P1009" s="20">
        <f>(C1009+(E1009*F1009*H1009))-N1009</f>
        <v>0</v>
      </c>
      <c r="Q1009" s="23" t="s">
        <v>19</v>
      </c>
      <c r="R1009" s="24">
        <f>P1009*(J1009-(J1009*L1009)-((J1009-(J1009*L1009))*M1009))</f>
        <v>0</v>
      </c>
      <c r="S1009" s="24">
        <f t="shared" ref="S1009" si="222">R1009/1.11</f>
        <v>0</v>
      </c>
    </row>
    <row r="1010" spans="1:21">
      <c r="A1010" s="2"/>
      <c r="R1010" s="16"/>
      <c r="S1010" s="16"/>
    </row>
    <row r="1012" spans="1:21" ht="16.5">
      <c r="R1012" s="27">
        <f>SUM(R6:R1010)</f>
        <v>1300415982.75</v>
      </c>
      <c r="S1012" s="27">
        <f>SUM(S6:S1010)</f>
        <v>1171545930.4054053</v>
      </c>
    </row>
    <row r="1013" spans="1:21">
      <c r="R1013" s="30"/>
      <c r="S1013" s="28"/>
      <c r="U1013" s="8"/>
    </row>
    <row r="1014" spans="1:21">
      <c r="R1014" s="86"/>
      <c r="S1014" s="85"/>
      <c r="U1014" s="43"/>
    </row>
    <row r="1015" spans="1:21" ht="15.75">
      <c r="R1015" s="87"/>
      <c r="S1015" s="87"/>
      <c r="U1015" s="43"/>
    </row>
    <row r="1016" spans="1:21">
      <c r="R1016" s="29"/>
      <c r="S1016" s="29"/>
    </row>
    <row r="1017" spans="1:21">
      <c r="S1017" s="45"/>
    </row>
    <row r="1018" spans="1:21">
      <c r="R1018" s="46"/>
    </row>
  </sheetData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2023-01-26T06:31:13Z</dcterms:modified>
</cp:coreProperties>
</file>