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hidePivotFieldList="1" defaultThemeVersion="124226"/>
  <xr:revisionPtr revIDLastSave="0" documentId="13_ncr:1_{E3F6B7B1-95D4-4E97-A8AB-9CAFFA650C19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91029" calcMode="manual"/>
  <pivotCaches>
    <pivotCache cacheId="3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0" i="1" l="1"/>
  <c r="C121" i="1"/>
  <c r="C122" i="1"/>
  <c r="C123" i="1"/>
  <c r="H120" i="1"/>
  <c r="B120" i="1" s="1"/>
  <c r="G120" i="1" s="1"/>
  <c r="A120" i="1" s="1"/>
  <c r="H121" i="1"/>
  <c r="B121" i="1" s="1"/>
  <c r="G121" i="1" s="1"/>
  <c r="A121" i="1" s="1"/>
  <c r="H122" i="1"/>
  <c r="B122" i="1" s="1"/>
  <c r="G122" i="1" s="1"/>
  <c r="A122" i="1" s="1"/>
  <c r="H123" i="1"/>
  <c r="B123" i="1" s="1"/>
  <c r="G123" i="1" s="1"/>
  <c r="A123" i="1" s="1"/>
  <c r="I120" i="1"/>
  <c r="I121" i="1"/>
  <c r="I122" i="1"/>
  <c r="I123" i="1"/>
  <c r="J120" i="1"/>
  <c r="J121" i="1"/>
  <c r="J122" i="1"/>
  <c r="J123" i="1"/>
  <c r="O120" i="1"/>
  <c r="O121" i="1"/>
  <c r="O122" i="1"/>
  <c r="O123" i="1"/>
  <c r="W120" i="1"/>
  <c r="W121" i="1"/>
  <c r="W122" i="1"/>
  <c r="W123" i="1"/>
  <c r="X120" i="1"/>
  <c r="X121" i="1"/>
  <c r="X122" i="1"/>
  <c r="X123" i="1"/>
  <c r="Y120" i="1"/>
  <c r="Y121" i="1"/>
  <c r="Y122" i="1"/>
  <c r="Y123" i="1"/>
  <c r="Z120" i="1"/>
  <c r="Z121" i="1"/>
  <c r="Z122" i="1"/>
  <c r="Z123" i="1"/>
  <c r="AA120" i="1"/>
  <c r="AA121" i="1"/>
  <c r="AA122" i="1"/>
  <c r="AA123" i="1"/>
  <c r="AB120" i="1"/>
  <c r="AB121" i="1"/>
  <c r="AB122" i="1"/>
  <c r="AB123" i="1"/>
  <c r="AC120" i="1"/>
  <c r="T120" i="1" s="1"/>
  <c r="AC121" i="1"/>
  <c r="T121" i="1" s="1"/>
  <c r="AC122" i="1"/>
  <c r="T122" i="1" s="1"/>
  <c r="AC123" i="1"/>
  <c r="T123" i="1" s="1"/>
  <c r="AD120" i="1"/>
  <c r="AD121" i="1"/>
  <c r="AD122" i="1"/>
  <c r="AD123" i="1"/>
  <c r="AF120" i="1"/>
  <c r="AF121" i="1"/>
  <c r="AF122" i="1"/>
  <c r="AF123" i="1"/>
  <c r="C3" i="1"/>
  <c r="H3" i="1"/>
  <c r="B3" i="1" s="1"/>
  <c r="G3" i="1" s="1"/>
  <c r="A3" i="1" s="1"/>
  <c r="I3" i="1"/>
  <c r="J3" i="1"/>
  <c r="O3" i="1"/>
  <c r="W3" i="1"/>
  <c r="X3" i="1"/>
  <c r="Y3" i="1"/>
  <c r="Z3" i="1"/>
  <c r="AA3" i="1"/>
  <c r="AB3" i="1"/>
  <c r="AC3" i="1"/>
  <c r="T3" i="1" s="1"/>
  <c r="AD3" i="1"/>
  <c r="AF3" i="1"/>
  <c r="C169" i="1" l="1"/>
  <c r="C170" i="1"/>
  <c r="C171" i="1"/>
  <c r="C172" i="1"/>
  <c r="C173" i="1"/>
  <c r="C174" i="1"/>
  <c r="C175" i="1"/>
  <c r="H169" i="1"/>
  <c r="B169" i="1" s="1"/>
  <c r="G169" i="1" s="1"/>
  <c r="A169" i="1" s="1"/>
  <c r="H170" i="1"/>
  <c r="H171" i="1"/>
  <c r="B171" i="1" s="1"/>
  <c r="G171" i="1" s="1"/>
  <c r="A171" i="1" s="1"/>
  <c r="H172" i="1"/>
  <c r="H173" i="1"/>
  <c r="B173" i="1" s="1"/>
  <c r="G173" i="1" s="1"/>
  <c r="A173" i="1" s="1"/>
  <c r="H174" i="1"/>
  <c r="B174" i="1" s="1"/>
  <c r="G174" i="1" s="1"/>
  <c r="A174" i="1" s="1"/>
  <c r="H175" i="1"/>
  <c r="B175" i="1" s="1"/>
  <c r="G175" i="1" s="1"/>
  <c r="A175" i="1" s="1"/>
  <c r="I169" i="1"/>
  <c r="I170" i="1"/>
  <c r="I171" i="1"/>
  <c r="I172" i="1"/>
  <c r="I173" i="1"/>
  <c r="I174" i="1"/>
  <c r="I175" i="1"/>
  <c r="J169" i="1"/>
  <c r="J170" i="1"/>
  <c r="J171" i="1"/>
  <c r="J172" i="1"/>
  <c r="J173" i="1"/>
  <c r="J174" i="1"/>
  <c r="J175" i="1"/>
  <c r="O169" i="1"/>
  <c r="O170" i="1"/>
  <c r="O171" i="1"/>
  <c r="O172" i="1"/>
  <c r="O173" i="1"/>
  <c r="O174" i="1"/>
  <c r="O175" i="1"/>
  <c r="W169" i="1"/>
  <c r="W170" i="1"/>
  <c r="W171" i="1"/>
  <c r="W172" i="1"/>
  <c r="W173" i="1"/>
  <c r="W174" i="1"/>
  <c r="W175" i="1"/>
  <c r="X169" i="1"/>
  <c r="X170" i="1"/>
  <c r="X171" i="1"/>
  <c r="X172" i="1"/>
  <c r="X173" i="1"/>
  <c r="X174" i="1"/>
  <c r="X175" i="1"/>
  <c r="Y169" i="1"/>
  <c r="Y170" i="1"/>
  <c r="Y171" i="1"/>
  <c r="Y172" i="1"/>
  <c r="Y173" i="1"/>
  <c r="Y174" i="1"/>
  <c r="Y175" i="1"/>
  <c r="Z169" i="1"/>
  <c r="Z170" i="1"/>
  <c r="Z171" i="1"/>
  <c r="Z172" i="1"/>
  <c r="Z173" i="1"/>
  <c r="Z174" i="1"/>
  <c r="Z175" i="1"/>
  <c r="AA169" i="1"/>
  <c r="AA170" i="1"/>
  <c r="AA171" i="1"/>
  <c r="AA172" i="1"/>
  <c r="AA173" i="1"/>
  <c r="AA174" i="1"/>
  <c r="AA175" i="1"/>
  <c r="AB169" i="1"/>
  <c r="AB170" i="1"/>
  <c r="AB171" i="1"/>
  <c r="AB172" i="1"/>
  <c r="AB173" i="1"/>
  <c r="AB174" i="1"/>
  <c r="AB175" i="1"/>
  <c r="AC169" i="1"/>
  <c r="T169" i="1" s="1"/>
  <c r="AC170" i="1"/>
  <c r="T170" i="1" s="1"/>
  <c r="AC171" i="1"/>
  <c r="T171" i="1" s="1"/>
  <c r="AC172" i="1"/>
  <c r="T172" i="1" s="1"/>
  <c r="AC173" i="1"/>
  <c r="T173" i="1" s="1"/>
  <c r="AC174" i="1"/>
  <c r="T174" i="1" s="1"/>
  <c r="AC175" i="1"/>
  <c r="T175" i="1" s="1"/>
  <c r="AD169" i="1"/>
  <c r="AD171" i="1"/>
  <c r="AD173" i="1"/>
  <c r="AD174" i="1"/>
  <c r="AD175" i="1"/>
  <c r="AF169" i="1"/>
  <c r="AF170" i="1"/>
  <c r="AF171" i="1"/>
  <c r="AF172" i="1"/>
  <c r="AF173" i="1"/>
  <c r="AF174" i="1"/>
  <c r="AF175" i="1"/>
  <c r="C162" i="1" l="1"/>
  <c r="C163" i="1"/>
  <c r="C164" i="1"/>
  <c r="C165" i="1"/>
  <c r="C166" i="1"/>
  <c r="H162" i="1"/>
  <c r="B162" i="1" s="1"/>
  <c r="G162" i="1" s="1"/>
  <c r="A162" i="1" s="1"/>
  <c r="H163" i="1"/>
  <c r="B163" i="1" s="1"/>
  <c r="G163" i="1" s="1"/>
  <c r="A163" i="1" s="1"/>
  <c r="H164" i="1"/>
  <c r="H165" i="1"/>
  <c r="H166" i="1"/>
  <c r="I162" i="1"/>
  <c r="I163" i="1"/>
  <c r="I164" i="1"/>
  <c r="I165" i="1"/>
  <c r="I166" i="1"/>
  <c r="J162" i="1"/>
  <c r="J163" i="1"/>
  <c r="J164" i="1"/>
  <c r="J165" i="1"/>
  <c r="J166" i="1"/>
  <c r="O162" i="1"/>
  <c r="O163" i="1"/>
  <c r="O164" i="1"/>
  <c r="O165" i="1"/>
  <c r="O166" i="1"/>
  <c r="W162" i="1"/>
  <c r="W163" i="1"/>
  <c r="W164" i="1"/>
  <c r="W165" i="1"/>
  <c r="W166" i="1"/>
  <c r="X162" i="1"/>
  <c r="X163" i="1"/>
  <c r="X164" i="1"/>
  <c r="X165" i="1"/>
  <c r="X166" i="1"/>
  <c r="Y162" i="1"/>
  <c r="Y163" i="1"/>
  <c r="Y164" i="1"/>
  <c r="Y165" i="1"/>
  <c r="Y166" i="1"/>
  <c r="Z162" i="1"/>
  <c r="Z163" i="1"/>
  <c r="Z164" i="1"/>
  <c r="Z165" i="1"/>
  <c r="Z166" i="1"/>
  <c r="AA162" i="1"/>
  <c r="AA163" i="1"/>
  <c r="AA164" i="1"/>
  <c r="AA165" i="1"/>
  <c r="AA166" i="1"/>
  <c r="AB162" i="1"/>
  <c r="AB163" i="1"/>
  <c r="AB164" i="1"/>
  <c r="AB165" i="1"/>
  <c r="AB166" i="1"/>
  <c r="AC162" i="1"/>
  <c r="T162" i="1" s="1"/>
  <c r="AC163" i="1"/>
  <c r="T163" i="1" s="1"/>
  <c r="AC164" i="1"/>
  <c r="T164" i="1" s="1"/>
  <c r="AC165" i="1"/>
  <c r="T165" i="1" s="1"/>
  <c r="AC166" i="1"/>
  <c r="T166" i="1" s="1"/>
  <c r="AD162" i="1"/>
  <c r="AD163" i="1"/>
  <c r="AF162" i="1"/>
  <c r="AF163" i="1"/>
  <c r="AF164" i="1"/>
  <c r="AF165" i="1"/>
  <c r="AF166" i="1"/>
  <c r="C144" i="1"/>
  <c r="C145" i="1"/>
  <c r="C146" i="1"/>
  <c r="C147" i="1"/>
  <c r="C148" i="1"/>
  <c r="H144" i="1"/>
  <c r="H145" i="1"/>
  <c r="B145" i="1" s="1"/>
  <c r="G145" i="1" s="1"/>
  <c r="A145" i="1" s="1"/>
  <c r="H146" i="1"/>
  <c r="B146" i="1" s="1"/>
  <c r="G146" i="1" s="1"/>
  <c r="A146" i="1" s="1"/>
  <c r="H147" i="1"/>
  <c r="B147" i="1" s="1"/>
  <c r="G147" i="1" s="1"/>
  <c r="A147" i="1" s="1"/>
  <c r="H148" i="1"/>
  <c r="B148" i="1" s="1"/>
  <c r="G148" i="1" s="1"/>
  <c r="A148" i="1" s="1"/>
  <c r="I144" i="1"/>
  <c r="I145" i="1"/>
  <c r="I146" i="1"/>
  <c r="I147" i="1"/>
  <c r="I148" i="1"/>
  <c r="J144" i="1"/>
  <c r="J145" i="1"/>
  <c r="J146" i="1"/>
  <c r="J147" i="1"/>
  <c r="J148" i="1"/>
  <c r="O144" i="1"/>
  <c r="O145" i="1"/>
  <c r="O146" i="1"/>
  <c r="O147" i="1"/>
  <c r="O148" i="1"/>
  <c r="W144" i="1"/>
  <c r="W145" i="1"/>
  <c r="W146" i="1"/>
  <c r="W147" i="1"/>
  <c r="W148" i="1"/>
  <c r="X144" i="1"/>
  <c r="X145" i="1"/>
  <c r="X146" i="1"/>
  <c r="X147" i="1"/>
  <c r="X148" i="1"/>
  <c r="Y144" i="1"/>
  <c r="Y145" i="1"/>
  <c r="Y146" i="1"/>
  <c r="Y147" i="1"/>
  <c r="Y148" i="1"/>
  <c r="Z144" i="1"/>
  <c r="Z145" i="1"/>
  <c r="Z146" i="1"/>
  <c r="Z147" i="1"/>
  <c r="Z148" i="1"/>
  <c r="AA144" i="1"/>
  <c r="AA145" i="1"/>
  <c r="AA146" i="1"/>
  <c r="AA147" i="1"/>
  <c r="AA148" i="1"/>
  <c r="AB144" i="1"/>
  <c r="AB145" i="1"/>
  <c r="AB146" i="1"/>
  <c r="AB147" i="1"/>
  <c r="AB148" i="1"/>
  <c r="AC144" i="1"/>
  <c r="T144" i="1" s="1"/>
  <c r="AC145" i="1"/>
  <c r="T145" i="1" s="1"/>
  <c r="AC146" i="1"/>
  <c r="T146" i="1" s="1"/>
  <c r="AC147" i="1"/>
  <c r="T147" i="1" s="1"/>
  <c r="AC148" i="1"/>
  <c r="T148" i="1" s="1"/>
  <c r="AD145" i="1"/>
  <c r="AD146" i="1"/>
  <c r="AD147" i="1"/>
  <c r="AD148" i="1"/>
  <c r="AF144" i="1"/>
  <c r="AF145" i="1"/>
  <c r="AF146" i="1"/>
  <c r="AF147" i="1"/>
  <c r="AF148" i="1"/>
  <c r="C125" i="1" l="1"/>
  <c r="C126" i="1"/>
  <c r="C127" i="1"/>
  <c r="C128" i="1"/>
  <c r="C129" i="1"/>
  <c r="C130" i="1"/>
  <c r="C131" i="1"/>
  <c r="H125" i="1"/>
  <c r="B125" i="1" s="1"/>
  <c r="G125" i="1" s="1"/>
  <c r="A125" i="1" s="1"/>
  <c r="AD125" i="1" s="1"/>
  <c r="H126" i="1"/>
  <c r="H127" i="1"/>
  <c r="B127" i="1" s="1"/>
  <c r="G127" i="1" s="1"/>
  <c r="A127" i="1" s="1"/>
  <c r="AD127" i="1" s="1"/>
  <c r="H128" i="1"/>
  <c r="H129" i="1"/>
  <c r="B129" i="1" s="1"/>
  <c r="G129" i="1" s="1"/>
  <c r="A129" i="1" s="1"/>
  <c r="AD129" i="1" s="1"/>
  <c r="H130" i="1"/>
  <c r="H131" i="1"/>
  <c r="B131" i="1" s="1"/>
  <c r="G131" i="1" s="1"/>
  <c r="A131" i="1" s="1"/>
  <c r="AD131" i="1" s="1"/>
  <c r="I125" i="1"/>
  <c r="I127" i="1"/>
  <c r="I128" i="1"/>
  <c r="I129" i="1"/>
  <c r="I130" i="1"/>
  <c r="I131" i="1"/>
  <c r="J125" i="1"/>
  <c r="J127" i="1"/>
  <c r="J129" i="1"/>
  <c r="J131" i="1"/>
  <c r="O125" i="1"/>
  <c r="O126" i="1"/>
  <c r="O127" i="1"/>
  <c r="O128" i="1"/>
  <c r="O129" i="1"/>
  <c r="O130" i="1"/>
  <c r="O131" i="1"/>
  <c r="W125" i="1"/>
  <c r="X125" i="1" s="1"/>
  <c r="W126" i="1"/>
  <c r="W127" i="1"/>
  <c r="X127" i="1" s="1"/>
  <c r="W128" i="1"/>
  <c r="X128" i="1" s="1"/>
  <c r="W129" i="1"/>
  <c r="X129" i="1" s="1"/>
  <c r="W130" i="1"/>
  <c r="X130" i="1" s="1"/>
  <c r="W131" i="1"/>
  <c r="X131" i="1" s="1"/>
  <c r="X126" i="1"/>
  <c r="Y125" i="1"/>
  <c r="Y126" i="1"/>
  <c r="Y127" i="1"/>
  <c r="Y128" i="1"/>
  <c r="Y129" i="1"/>
  <c r="Y130" i="1"/>
  <c r="Y131" i="1"/>
  <c r="Z125" i="1"/>
  <c r="Z126" i="1"/>
  <c r="Z127" i="1"/>
  <c r="Z128" i="1"/>
  <c r="Z129" i="1"/>
  <c r="Z130" i="1"/>
  <c r="Z131" i="1"/>
  <c r="AA125" i="1"/>
  <c r="AA126" i="1"/>
  <c r="AA127" i="1"/>
  <c r="AA128" i="1"/>
  <c r="AA129" i="1"/>
  <c r="AA130" i="1"/>
  <c r="AA131" i="1"/>
  <c r="AB125" i="1"/>
  <c r="AB126" i="1"/>
  <c r="AB127" i="1"/>
  <c r="AB128" i="1"/>
  <c r="AB129" i="1"/>
  <c r="AB130" i="1"/>
  <c r="AB131" i="1"/>
  <c r="AC125" i="1"/>
  <c r="T125" i="1" s="1"/>
  <c r="AC126" i="1"/>
  <c r="T126" i="1" s="1"/>
  <c r="AC127" i="1"/>
  <c r="T127" i="1" s="1"/>
  <c r="AC128" i="1"/>
  <c r="T128" i="1" s="1"/>
  <c r="AC129" i="1"/>
  <c r="T129" i="1" s="1"/>
  <c r="AC130" i="1"/>
  <c r="T130" i="1" s="1"/>
  <c r="AC131" i="1"/>
  <c r="T131" i="1" s="1"/>
  <c r="AF125" i="1"/>
  <c r="AF126" i="1"/>
  <c r="AF127" i="1"/>
  <c r="AF128" i="1"/>
  <c r="AF129" i="1"/>
  <c r="AF130" i="1"/>
  <c r="AF131" i="1"/>
  <c r="I126" i="1" l="1"/>
  <c r="C56" i="1" l="1"/>
  <c r="C57" i="1"/>
  <c r="C58" i="1"/>
  <c r="C59" i="1"/>
  <c r="C60" i="1"/>
  <c r="C61" i="1"/>
  <c r="H56" i="1"/>
  <c r="B56" i="1" s="1"/>
  <c r="G56" i="1" s="1"/>
  <c r="A56" i="1" s="1"/>
  <c r="AD56" i="1" s="1"/>
  <c r="H57" i="1"/>
  <c r="B57" i="1" s="1"/>
  <c r="G57" i="1" s="1"/>
  <c r="A57" i="1" s="1"/>
  <c r="AD57" i="1" s="1"/>
  <c r="H58" i="1"/>
  <c r="B58" i="1" s="1"/>
  <c r="G58" i="1" s="1"/>
  <c r="A58" i="1" s="1"/>
  <c r="AD58" i="1" s="1"/>
  <c r="H59" i="1"/>
  <c r="B59" i="1" s="1"/>
  <c r="G59" i="1" s="1"/>
  <c r="A59" i="1" s="1"/>
  <c r="AD59" i="1" s="1"/>
  <c r="H60" i="1"/>
  <c r="B60" i="1" s="1"/>
  <c r="G60" i="1" s="1"/>
  <c r="A60" i="1" s="1"/>
  <c r="AD60" i="1" s="1"/>
  <c r="H61" i="1"/>
  <c r="B61" i="1" s="1"/>
  <c r="G61" i="1" s="1"/>
  <c r="A61" i="1" s="1"/>
  <c r="AD61" i="1" s="1"/>
  <c r="I56" i="1"/>
  <c r="I57" i="1"/>
  <c r="I58" i="1"/>
  <c r="I59" i="1"/>
  <c r="I60" i="1"/>
  <c r="I61" i="1"/>
  <c r="J56" i="1"/>
  <c r="J57" i="1"/>
  <c r="J58" i="1"/>
  <c r="J59" i="1"/>
  <c r="J60" i="1"/>
  <c r="J61" i="1"/>
  <c r="O56" i="1"/>
  <c r="O57" i="1"/>
  <c r="O58" i="1"/>
  <c r="O59" i="1"/>
  <c r="O60" i="1"/>
  <c r="O61" i="1"/>
  <c r="Y56" i="1"/>
  <c r="Y57" i="1"/>
  <c r="Y58" i="1"/>
  <c r="Y59" i="1"/>
  <c r="Y60" i="1"/>
  <c r="Y61" i="1"/>
  <c r="Z56" i="1"/>
  <c r="Z57" i="1"/>
  <c r="Z58" i="1"/>
  <c r="Z59" i="1"/>
  <c r="Z60" i="1"/>
  <c r="Z61" i="1"/>
  <c r="AA56" i="1"/>
  <c r="AA57" i="1"/>
  <c r="AA58" i="1"/>
  <c r="AA59" i="1"/>
  <c r="AA60" i="1"/>
  <c r="AA61" i="1"/>
  <c r="AB56" i="1"/>
  <c r="AB57" i="1"/>
  <c r="AB58" i="1"/>
  <c r="AB59" i="1"/>
  <c r="AB60" i="1"/>
  <c r="AB61" i="1"/>
  <c r="AC56" i="1"/>
  <c r="T56" i="1" s="1"/>
  <c r="AC57" i="1"/>
  <c r="T57" i="1" s="1"/>
  <c r="AC58" i="1"/>
  <c r="T58" i="1" s="1"/>
  <c r="AC59" i="1"/>
  <c r="T59" i="1" s="1"/>
  <c r="AC60" i="1"/>
  <c r="T60" i="1" s="1"/>
  <c r="AC61" i="1"/>
  <c r="T61" i="1" s="1"/>
  <c r="AF56" i="1"/>
  <c r="AF57" i="1"/>
  <c r="AF58" i="1"/>
  <c r="AF59" i="1"/>
  <c r="AF60" i="1"/>
  <c r="AF61" i="1"/>
  <c r="C63" i="1"/>
  <c r="H63" i="1"/>
  <c r="I63" i="1" s="1"/>
  <c r="C64" i="1"/>
  <c r="H64" i="1"/>
  <c r="B64" i="1" s="1"/>
  <c r="G64" i="1" s="1"/>
  <c r="I64" i="1"/>
  <c r="J64" i="1"/>
  <c r="C65" i="1"/>
  <c r="H65" i="1"/>
  <c r="I65" i="1" s="1"/>
  <c r="J65" i="1"/>
  <c r="C66" i="1"/>
  <c r="H66" i="1"/>
  <c r="B66" i="1" s="1"/>
  <c r="G66" i="1" s="1"/>
  <c r="J66" i="1"/>
  <c r="C67" i="1"/>
  <c r="H67" i="1"/>
  <c r="I67" i="1" s="1"/>
  <c r="J67" i="1"/>
  <c r="C68" i="1"/>
  <c r="H68" i="1"/>
  <c r="B68" i="1" s="1"/>
  <c r="G68" i="1" s="1"/>
  <c r="I68" i="1"/>
  <c r="J68" i="1"/>
  <c r="C69" i="1"/>
  <c r="H69" i="1"/>
  <c r="I69" i="1" s="1"/>
  <c r="J69" i="1"/>
  <c r="C70" i="1"/>
  <c r="H70" i="1"/>
  <c r="I70" i="1" s="1"/>
  <c r="J70" i="1"/>
  <c r="C71" i="1"/>
  <c r="H71" i="1"/>
  <c r="B71" i="1" s="1"/>
  <c r="G71" i="1" s="1"/>
  <c r="J71" i="1"/>
  <c r="C72" i="1"/>
  <c r="H72" i="1"/>
  <c r="B72" i="1" s="1"/>
  <c r="G72" i="1" s="1"/>
  <c r="J72" i="1"/>
  <c r="C73" i="1"/>
  <c r="H73" i="1"/>
  <c r="B73" i="1" s="1"/>
  <c r="G73" i="1" s="1"/>
  <c r="J73" i="1"/>
  <c r="C74" i="1"/>
  <c r="H74" i="1"/>
  <c r="B74" i="1" s="1"/>
  <c r="G74" i="1" s="1"/>
  <c r="J74" i="1"/>
  <c r="C75" i="1"/>
  <c r="H75" i="1"/>
  <c r="I75" i="1" s="1"/>
  <c r="J75" i="1"/>
  <c r="C76" i="1"/>
  <c r="H76" i="1"/>
  <c r="B76" i="1" s="1"/>
  <c r="G76" i="1" s="1"/>
  <c r="J76" i="1"/>
  <c r="C77" i="1"/>
  <c r="H77" i="1"/>
  <c r="B77" i="1" s="1"/>
  <c r="G77" i="1" s="1"/>
  <c r="J77" i="1"/>
  <c r="C78" i="1"/>
  <c r="H78" i="1"/>
  <c r="B78" i="1" s="1"/>
  <c r="G78" i="1" s="1"/>
  <c r="I78" i="1"/>
  <c r="J78" i="1"/>
  <c r="C106" i="1"/>
  <c r="B69" i="1" l="1"/>
  <c r="G69" i="1" s="1"/>
  <c r="I66" i="1"/>
  <c r="B67" i="1"/>
  <c r="G67" i="1" s="1"/>
  <c r="B65" i="1"/>
  <c r="G65" i="1" s="1"/>
  <c r="I74" i="1"/>
  <c r="B75" i="1"/>
  <c r="G75" i="1" s="1"/>
  <c r="B70" i="1"/>
  <c r="G70" i="1" s="1"/>
  <c r="I77" i="1"/>
  <c r="I76" i="1"/>
  <c r="I73" i="1"/>
  <c r="I72" i="1"/>
  <c r="I71" i="1"/>
  <c r="O107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4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7" i="1"/>
  <c r="O168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C55" i="1" l="1"/>
  <c r="C18" i="1" l="1"/>
  <c r="H18" i="1"/>
  <c r="B18" i="1" s="1"/>
  <c r="G18" i="1" s="1"/>
  <c r="A18" i="1" s="1"/>
  <c r="AD18" i="1" s="1"/>
  <c r="J18" i="1"/>
  <c r="Y18" i="1"/>
  <c r="Z18" i="1" s="1"/>
  <c r="AF18" i="1"/>
  <c r="C19" i="1"/>
  <c r="H19" i="1"/>
  <c r="B19" i="1" s="1"/>
  <c r="G19" i="1" s="1"/>
  <c r="A19" i="1" s="1"/>
  <c r="AD19" i="1" s="1"/>
  <c r="J19" i="1"/>
  <c r="W19" i="1"/>
  <c r="X19" i="1" s="1"/>
  <c r="Y19" i="1"/>
  <c r="Z19" i="1" s="1"/>
  <c r="AB19" i="1"/>
  <c r="AC19" i="1"/>
  <c r="T19" i="1" s="1"/>
  <c r="AF19" i="1"/>
  <c r="H20" i="1"/>
  <c r="I18" i="1" l="1"/>
  <c r="AA18" i="1"/>
  <c r="AB18" i="1" s="1"/>
  <c r="AC18" i="1" s="1"/>
  <c r="T18" i="1" s="1"/>
  <c r="AA19" i="1"/>
  <c r="I19" i="1"/>
  <c r="C161" i="1" l="1"/>
  <c r="H161" i="1"/>
  <c r="J161" i="1"/>
  <c r="Y161" i="1"/>
  <c r="Z161" i="1" s="1"/>
  <c r="AF161" i="1"/>
  <c r="AA161" i="1" l="1"/>
  <c r="AB161" i="1" s="1"/>
  <c r="AC161" i="1" s="1"/>
  <c r="T161" i="1" s="1"/>
  <c r="I161" i="1"/>
  <c r="A68" i="1" l="1"/>
  <c r="Y68" i="1"/>
  <c r="Z68" i="1" s="1"/>
  <c r="AF68" i="1"/>
  <c r="C143" i="1"/>
  <c r="H143" i="1"/>
  <c r="J143" i="1"/>
  <c r="W143" i="1"/>
  <c r="X143" i="1" s="1"/>
  <c r="Y143" i="1"/>
  <c r="Z143" i="1" s="1"/>
  <c r="AB143" i="1"/>
  <c r="AC143" i="1"/>
  <c r="T143" i="1" s="1"/>
  <c r="AF143" i="1"/>
  <c r="AA68" i="1" l="1"/>
  <c r="AB68" i="1" s="1"/>
  <c r="AC68" i="1" s="1"/>
  <c r="T68" i="1" s="1"/>
  <c r="AA143" i="1"/>
  <c r="I143" i="1"/>
  <c r="AF157" i="1" l="1"/>
  <c r="Y157" i="1"/>
  <c r="J157" i="1"/>
  <c r="H157" i="1"/>
  <c r="I157" i="1" s="1"/>
  <c r="C157" i="1"/>
  <c r="AF155" i="1"/>
  <c r="Y155" i="1"/>
  <c r="J155" i="1"/>
  <c r="H155" i="1"/>
  <c r="I155" i="1" s="1"/>
  <c r="C155" i="1"/>
  <c r="AF153" i="1"/>
  <c r="Y153" i="1"/>
  <c r="J153" i="1"/>
  <c r="H153" i="1"/>
  <c r="I153" i="1" s="1"/>
  <c r="C153" i="1"/>
  <c r="AF151" i="1"/>
  <c r="AC151" i="1"/>
  <c r="T151" i="1" s="1"/>
  <c r="AB151" i="1"/>
  <c r="Y151" i="1"/>
  <c r="AA151" i="1" s="1"/>
  <c r="W151" i="1"/>
  <c r="X151" i="1" s="1"/>
  <c r="J151" i="1"/>
  <c r="H151" i="1"/>
  <c r="I151" i="1" s="1"/>
  <c r="C151" i="1"/>
  <c r="E32" i="3"/>
  <c r="E31" i="3"/>
  <c r="C149" i="1"/>
  <c r="C150" i="1"/>
  <c r="C152" i="1"/>
  <c r="C154" i="1"/>
  <c r="C156" i="1"/>
  <c r="C158" i="1"/>
  <c r="H149" i="1"/>
  <c r="H150" i="1"/>
  <c r="H152" i="1"/>
  <c r="H154" i="1"/>
  <c r="B154" i="1" s="1"/>
  <c r="G154" i="1" s="1"/>
  <c r="A154" i="1" s="1"/>
  <c r="AD154" i="1" s="1"/>
  <c r="H156" i="1"/>
  <c r="B156" i="1" s="1"/>
  <c r="G156" i="1" s="1"/>
  <c r="A156" i="1" s="1"/>
  <c r="AD156" i="1" s="1"/>
  <c r="H158" i="1"/>
  <c r="B158" i="1" s="1"/>
  <c r="G158" i="1" s="1"/>
  <c r="A158" i="1" s="1"/>
  <c r="AD158" i="1" s="1"/>
  <c r="I149" i="1"/>
  <c r="I150" i="1"/>
  <c r="I152" i="1"/>
  <c r="I154" i="1"/>
  <c r="I156" i="1"/>
  <c r="I158" i="1"/>
  <c r="J149" i="1"/>
  <c r="J150" i="1"/>
  <c r="J152" i="1"/>
  <c r="J154" i="1"/>
  <c r="J156" i="1"/>
  <c r="J158" i="1"/>
  <c r="W149" i="1"/>
  <c r="X149" i="1"/>
  <c r="Y149" i="1"/>
  <c r="Y150" i="1"/>
  <c r="Y152" i="1"/>
  <c r="Y154" i="1"/>
  <c r="Y156" i="1"/>
  <c r="Y158" i="1"/>
  <c r="Z149" i="1"/>
  <c r="Z150" i="1"/>
  <c r="Z152" i="1"/>
  <c r="Z154" i="1"/>
  <c r="Z156" i="1"/>
  <c r="Z158" i="1"/>
  <c r="AA149" i="1"/>
  <c r="AA150" i="1"/>
  <c r="AA152" i="1"/>
  <c r="AA154" i="1"/>
  <c r="AA156" i="1"/>
  <c r="AA158" i="1"/>
  <c r="AB149" i="1"/>
  <c r="AB150" i="1"/>
  <c r="AB152" i="1"/>
  <c r="AB154" i="1"/>
  <c r="AB156" i="1"/>
  <c r="AB158" i="1"/>
  <c r="AC149" i="1"/>
  <c r="T149" i="1" s="1"/>
  <c r="AC150" i="1"/>
  <c r="T150" i="1" s="1"/>
  <c r="AC152" i="1"/>
  <c r="T152" i="1" s="1"/>
  <c r="AC154" i="1"/>
  <c r="T154" i="1" s="1"/>
  <c r="AC156" i="1"/>
  <c r="T156" i="1" s="1"/>
  <c r="AC158" i="1"/>
  <c r="T158" i="1" s="1"/>
  <c r="AF149" i="1"/>
  <c r="AF150" i="1"/>
  <c r="AF152" i="1"/>
  <c r="AF154" i="1"/>
  <c r="AF156" i="1"/>
  <c r="AF158" i="1"/>
  <c r="C142" i="1"/>
  <c r="H142" i="1"/>
  <c r="Y142" i="1"/>
  <c r="Z142" i="1" s="1"/>
  <c r="AF142" i="1"/>
  <c r="C141" i="1"/>
  <c r="H141" i="1"/>
  <c r="J141" i="1"/>
  <c r="W141" i="1"/>
  <c r="X141" i="1" s="1"/>
  <c r="Y141" i="1"/>
  <c r="Z141" i="1" s="1"/>
  <c r="AB141" i="1"/>
  <c r="AC141" i="1"/>
  <c r="T141" i="1" s="1"/>
  <c r="AF141" i="1"/>
  <c r="AA153" i="1" l="1"/>
  <c r="AA155" i="1"/>
  <c r="AA157" i="1"/>
  <c r="Z157" i="1"/>
  <c r="AB157" i="1" s="1"/>
  <c r="AC157" i="1" s="1"/>
  <c r="T157" i="1" s="1"/>
  <c r="Z153" i="1"/>
  <c r="AB153" i="1" s="1"/>
  <c r="AC153" i="1" s="1"/>
  <c r="T153" i="1" s="1"/>
  <c r="Z151" i="1"/>
  <c r="Z155" i="1"/>
  <c r="AB155" i="1" s="1"/>
  <c r="AC155" i="1" s="1"/>
  <c r="T155" i="1" s="1"/>
  <c r="I142" i="1"/>
  <c r="AA142" i="1"/>
  <c r="AB142" i="1" s="1"/>
  <c r="AC142" i="1" s="1"/>
  <c r="T142" i="1" s="1"/>
  <c r="AA141" i="1"/>
  <c r="I141" i="1"/>
  <c r="C136" i="1" l="1"/>
  <c r="C137" i="1"/>
  <c r="C138" i="1"/>
  <c r="C139" i="1"/>
  <c r="H136" i="1"/>
  <c r="B136" i="1" s="1"/>
  <c r="G136" i="1" s="1"/>
  <c r="A136" i="1" s="1"/>
  <c r="AD136" i="1" s="1"/>
  <c r="H137" i="1"/>
  <c r="B137" i="1" s="1"/>
  <c r="G137" i="1" s="1"/>
  <c r="A137" i="1" s="1"/>
  <c r="AD137" i="1" s="1"/>
  <c r="H138" i="1"/>
  <c r="B138" i="1" s="1"/>
  <c r="G138" i="1" s="1"/>
  <c r="A138" i="1" s="1"/>
  <c r="AD138" i="1" s="1"/>
  <c r="H139" i="1"/>
  <c r="I136" i="1"/>
  <c r="I137" i="1"/>
  <c r="I138" i="1"/>
  <c r="I139" i="1"/>
  <c r="J136" i="1"/>
  <c r="J137" i="1"/>
  <c r="J138" i="1"/>
  <c r="J139" i="1"/>
  <c r="Y136" i="1"/>
  <c r="Y137" i="1"/>
  <c r="Y138" i="1"/>
  <c r="Y139" i="1"/>
  <c r="Z136" i="1"/>
  <c r="Z137" i="1"/>
  <c r="Z138" i="1"/>
  <c r="Z139" i="1"/>
  <c r="AA136" i="1"/>
  <c r="AA137" i="1"/>
  <c r="AA138" i="1"/>
  <c r="AA139" i="1"/>
  <c r="AB136" i="1"/>
  <c r="AB137" i="1"/>
  <c r="AB138" i="1"/>
  <c r="AB139" i="1"/>
  <c r="AC136" i="1"/>
  <c r="T136" i="1" s="1"/>
  <c r="AC137" i="1"/>
  <c r="T137" i="1" s="1"/>
  <c r="AC138" i="1"/>
  <c r="T138" i="1" s="1"/>
  <c r="AC139" i="1"/>
  <c r="T139" i="1" s="1"/>
  <c r="AF136" i="1"/>
  <c r="AF137" i="1"/>
  <c r="AF138" i="1"/>
  <c r="AF139" i="1"/>
  <c r="C135" i="1"/>
  <c r="H135" i="1"/>
  <c r="J135" i="1"/>
  <c r="Y135" i="1"/>
  <c r="Z135" i="1" s="1"/>
  <c r="AF135" i="1"/>
  <c r="AA135" i="1" l="1"/>
  <c r="AB135" i="1" s="1"/>
  <c r="AC135" i="1" s="1"/>
  <c r="T135" i="1" s="1"/>
  <c r="I135" i="1"/>
  <c r="C112" i="1"/>
  <c r="C113" i="1"/>
  <c r="C114" i="1"/>
  <c r="C115" i="1"/>
  <c r="C116" i="1"/>
  <c r="C117" i="1"/>
  <c r="C118" i="1"/>
  <c r="C119" i="1"/>
  <c r="C124" i="1"/>
  <c r="C132" i="1"/>
  <c r="C133" i="1"/>
  <c r="C134" i="1"/>
  <c r="H112" i="1"/>
  <c r="B112" i="1" s="1"/>
  <c r="G112" i="1" s="1"/>
  <c r="A112" i="1" s="1"/>
  <c r="AD112" i="1" s="1"/>
  <c r="H113" i="1"/>
  <c r="H114" i="1"/>
  <c r="H115" i="1"/>
  <c r="H116" i="1"/>
  <c r="B116" i="1" s="1"/>
  <c r="G116" i="1" s="1"/>
  <c r="A116" i="1" s="1"/>
  <c r="AD116" i="1" s="1"/>
  <c r="H117" i="1"/>
  <c r="B117" i="1" s="1"/>
  <c r="G117" i="1" s="1"/>
  <c r="A117" i="1" s="1"/>
  <c r="AD117" i="1" s="1"/>
  <c r="H118" i="1"/>
  <c r="H119" i="1"/>
  <c r="B119" i="1" s="1"/>
  <c r="G119" i="1" s="1"/>
  <c r="A119" i="1" s="1"/>
  <c r="AD119" i="1" s="1"/>
  <c r="H124" i="1"/>
  <c r="H132" i="1"/>
  <c r="B132" i="1" s="1"/>
  <c r="G132" i="1" s="1"/>
  <c r="A132" i="1" s="1"/>
  <c r="AD132" i="1" s="1"/>
  <c r="H133" i="1"/>
  <c r="H134" i="1"/>
  <c r="B134" i="1" s="1"/>
  <c r="G134" i="1" s="1"/>
  <c r="A134" i="1" s="1"/>
  <c r="AD134" i="1" s="1"/>
  <c r="J112" i="1"/>
  <c r="J116" i="1"/>
  <c r="J117" i="1"/>
  <c r="J119" i="1"/>
  <c r="J132" i="1"/>
  <c r="J134" i="1"/>
  <c r="Y112" i="1"/>
  <c r="Z112" i="1" s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4" i="1"/>
  <c r="AA124" i="1" s="1"/>
  <c r="Y132" i="1"/>
  <c r="Z132" i="1" s="1"/>
  <c r="Y133" i="1"/>
  <c r="Z133" i="1" s="1"/>
  <c r="Y134" i="1"/>
  <c r="Z134" i="1" s="1"/>
  <c r="AF112" i="1"/>
  <c r="AF113" i="1"/>
  <c r="AF114" i="1"/>
  <c r="AF115" i="1"/>
  <c r="AF116" i="1"/>
  <c r="AF117" i="1"/>
  <c r="AF118" i="1"/>
  <c r="AF119" i="1"/>
  <c r="AF124" i="1"/>
  <c r="AF132" i="1"/>
  <c r="AF133" i="1"/>
  <c r="AF134" i="1"/>
  <c r="I113" i="1" l="1"/>
  <c r="AA113" i="1"/>
  <c r="AB113" i="1" s="1"/>
  <c r="AC113" i="1" s="1"/>
  <c r="T113" i="1" s="1"/>
  <c r="I132" i="1"/>
  <c r="I117" i="1"/>
  <c r="I134" i="1"/>
  <c r="I119" i="1"/>
  <c r="I115" i="1"/>
  <c r="Z124" i="1"/>
  <c r="AB124" i="1" s="1"/>
  <c r="AC124" i="1" s="1"/>
  <c r="T124" i="1" s="1"/>
  <c r="Z114" i="1"/>
  <c r="AB114" i="1" s="1"/>
  <c r="AA133" i="1"/>
  <c r="AB133" i="1" s="1"/>
  <c r="AC133" i="1" s="1"/>
  <c r="T133" i="1" s="1"/>
  <c r="AA118" i="1"/>
  <c r="AB118" i="1" s="1"/>
  <c r="AC118" i="1" s="1"/>
  <c r="T118" i="1" s="1"/>
  <c r="AA112" i="1"/>
  <c r="AA134" i="1"/>
  <c r="AB134" i="1" s="1"/>
  <c r="AC134" i="1" s="1"/>
  <c r="T134" i="1" s="1"/>
  <c r="AA132" i="1"/>
  <c r="AB132" i="1" s="1"/>
  <c r="AC132" i="1" s="1"/>
  <c r="T132" i="1" s="1"/>
  <c r="AA119" i="1"/>
  <c r="AB119" i="1" s="1"/>
  <c r="AC119" i="1" s="1"/>
  <c r="T119" i="1" s="1"/>
  <c r="AA117" i="1"/>
  <c r="AB117" i="1" s="1"/>
  <c r="AC117" i="1" s="1"/>
  <c r="T117" i="1" s="1"/>
  <c r="AC114" i="1"/>
  <c r="T114" i="1" s="1"/>
  <c r="AA115" i="1"/>
  <c r="AB115" i="1" s="1"/>
  <c r="AC115" i="1" s="1"/>
  <c r="T115" i="1" s="1"/>
  <c r="AA116" i="1"/>
  <c r="AB116" i="1" s="1"/>
  <c r="AC116" i="1" s="1"/>
  <c r="T116" i="1" s="1"/>
  <c r="AB112" i="1"/>
  <c r="AC112" i="1" s="1"/>
  <c r="T112" i="1" s="1"/>
  <c r="I133" i="1"/>
  <c r="I124" i="1"/>
  <c r="I118" i="1"/>
  <c r="I116" i="1"/>
  <c r="I114" i="1"/>
  <c r="I112" i="1"/>
  <c r="C110" i="1"/>
  <c r="H110" i="1"/>
  <c r="B110" i="1" s="1"/>
  <c r="G110" i="1" s="1"/>
  <c r="A110" i="1" s="1"/>
  <c r="AD110" i="1" s="1"/>
  <c r="J110" i="1"/>
  <c r="W110" i="1"/>
  <c r="X110" i="1" s="1"/>
  <c r="Y110" i="1"/>
  <c r="Z110" i="1" s="1"/>
  <c r="AB110" i="1"/>
  <c r="AC110" i="1"/>
  <c r="T110" i="1" s="1"/>
  <c r="AF110" i="1"/>
  <c r="C109" i="1"/>
  <c r="H109" i="1"/>
  <c r="Y109" i="1"/>
  <c r="Z109" i="1" s="1"/>
  <c r="AF109" i="1"/>
  <c r="AA109" i="1" l="1"/>
  <c r="AB109" i="1" s="1"/>
  <c r="AC109" i="1" s="1"/>
  <c r="T109" i="1" s="1"/>
  <c r="AA110" i="1"/>
  <c r="I110" i="1"/>
  <c r="I109" i="1"/>
  <c r="C95" i="1"/>
  <c r="C96" i="1"/>
  <c r="C97" i="1"/>
  <c r="C98" i="1"/>
  <c r="C99" i="1"/>
  <c r="C100" i="1"/>
  <c r="C101" i="1"/>
  <c r="C102" i="1"/>
  <c r="C103" i="1"/>
  <c r="C104" i="1"/>
  <c r="C105" i="1"/>
  <c r="C107" i="1"/>
  <c r="H95" i="1"/>
  <c r="B95" i="1" s="1"/>
  <c r="G95" i="1" s="1"/>
  <c r="A95" i="1" s="1"/>
  <c r="AD95" i="1" s="1"/>
  <c r="H96" i="1"/>
  <c r="H97" i="1"/>
  <c r="B97" i="1" s="1"/>
  <c r="G97" i="1" s="1"/>
  <c r="A97" i="1" s="1"/>
  <c r="AD97" i="1" s="1"/>
  <c r="H98" i="1"/>
  <c r="B98" i="1" s="1"/>
  <c r="G98" i="1" s="1"/>
  <c r="A98" i="1" s="1"/>
  <c r="AD98" i="1" s="1"/>
  <c r="H99" i="1"/>
  <c r="B99" i="1" s="1"/>
  <c r="G99" i="1" s="1"/>
  <c r="A99" i="1" s="1"/>
  <c r="AD99" i="1" s="1"/>
  <c r="H100" i="1"/>
  <c r="B100" i="1" s="1"/>
  <c r="G100" i="1" s="1"/>
  <c r="A100" i="1" s="1"/>
  <c r="AD100" i="1" s="1"/>
  <c r="H101" i="1"/>
  <c r="B101" i="1" s="1"/>
  <c r="G101" i="1" s="1"/>
  <c r="A101" i="1" s="1"/>
  <c r="AD101" i="1" s="1"/>
  <c r="H102" i="1"/>
  <c r="B102" i="1" s="1"/>
  <c r="G102" i="1" s="1"/>
  <c r="A102" i="1" s="1"/>
  <c r="AD102" i="1" s="1"/>
  <c r="H103" i="1"/>
  <c r="B103" i="1" s="1"/>
  <c r="G103" i="1" s="1"/>
  <c r="A103" i="1" s="1"/>
  <c r="AD103" i="1" s="1"/>
  <c r="H104" i="1"/>
  <c r="B104" i="1" s="1"/>
  <c r="G104" i="1" s="1"/>
  <c r="A104" i="1" s="1"/>
  <c r="AD104" i="1" s="1"/>
  <c r="H105" i="1"/>
  <c r="B105" i="1" s="1"/>
  <c r="G105" i="1" s="1"/>
  <c r="A105" i="1" s="1"/>
  <c r="AD105" i="1" s="1"/>
  <c r="H106" i="1"/>
  <c r="H107" i="1"/>
  <c r="B107" i="1" s="1"/>
  <c r="G107" i="1" s="1"/>
  <c r="A107" i="1" s="1"/>
  <c r="AD107" i="1" s="1"/>
  <c r="J95" i="1"/>
  <c r="J97" i="1"/>
  <c r="J98" i="1"/>
  <c r="J99" i="1"/>
  <c r="J100" i="1"/>
  <c r="J101" i="1"/>
  <c r="J102" i="1"/>
  <c r="J103" i="1"/>
  <c r="J104" i="1"/>
  <c r="J105" i="1"/>
  <c r="J107" i="1"/>
  <c r="Y95" i="1"/>
  <c r="Z95" i="1" s="1"/>
  <c r="Y96" i="1"/>
  <c r="AA96" i="1" s="1"/>
  <c r="Y97" i="1"/>
  <c r="Z97" i="1" s="1"/>
  <c r="Y98" i="1"/>
  <c r="Z98" i="1" s="1"/>
  <c r="Y99" i="1"/>
  <c r="Z99" i="1" s="1"/>
  <c r="Y100" i="1"/>
  <c r="AA100" i="1" s="1"/>
  <c r="Y101" i="1"/>
  <c r="Z101" i="1" s="1"/>
  <c r="Y102" i="1"/>
  <c r="Z102" i="1" s="1"/>
  <c r="Y103" i="1"/>
  <c r="Z103" i="1" s="1"/>
  <c r="Y104" i="1"/>
  <c r="AA104" i="1" s="1"/>
  <c r="Y105" i="1"/>
  <c r="Z105" i="1" s="1"/>
  <c r="Y106" i="1"/>
  <c r="Z106" i="1" s="1"/>
  <c r="Y107" i="1"/>
  <c r="Z107" i="1" s="1"/>
  <c r="Z96" i="1"/>
  <c r="AB96" i="1" s="1"/>
  <c r="AA95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B95" i="1" l="1"/>
  <c r="AA103" i="1"/>
  <c r="AB103" i="1" s="1"/>
  <c r="AC103" i="1" s="1"/>
  <c r="T103" i="1" s="1"/>
  <c r="AA107" i="1"/>
  <c r="AB107" i="1" s="1"/>
  <c r="AC107" i="1" s="1"/>
  <c r="T107" i="1" s="1"/>
  <c r="AA99" i="1"/>
  <c r="AB99" i="1" s="1"/>
  <c r="AC99" i="1" s="1"/>
  <c r="T99" i="1" s="1"/>
  <c r="I101" i="1"/>
  <c r="I105" i="1"/>
  <c r="I97" i="1"/>
  <c r="AC96" i="1"/>
  <c r="T96" i="1" s="1"/>
  <c r="Z104" i="1"/>
  <c r="AB104" i="1" s="1"/>
  <c r="AC104" i="1" s="1"/>
  <c r="T104" i="1" s="1"/>
  <c r="Z100" i="1"/>
  <c r="AB100" i="1" s="1"/>
  <c r="AC100" i="1" s="1"/>
  <c r="T100" i="1" s="1"/>
  <c r="AC95" i="1"/>
  <c r="T95" i="1" s="1"/>
  <c r="AA105" i="1"/>
  <c r="AB105" i="1" s="1"/>
  <c r="AC105" i="1" s="1"/>
  <c r="T105" i="1" s="1"/>
  <c r="AA101" i="1"/>
  <c r="AB101" i="1" s="1"/>
  <c r="AC101" i="1" s="1"/>
  <c r="T101" i="1" s="1"/>
  <c r="AA97" i="1"/>
  <c r="AB97" i="1" s="1"/>
  <c r="AC97" i="1" s="1"/>
  <c r="T97" i="1" s="1"/>
  <c r="AA106" i="1"/>
  <c r="AB106" i="1" s="1"/>
  <c r="AC106" i="1" s="1"/>
  <c r="T106" i="1" s="1"/>
  <c r="AA102" i="1"/>
  <c r="AB102" i="1" s="1"/>
  <c r="AC102" i="1" s="1"/>
  <c r="T102" i="1" s="1"/>
  <c r="AA98" i="1"/>
  <c r="AB98" i="1" s="1"/>
  <c r="AC98" i="1" s="1"/>
  <c r="T98" i="1" s="1"/>
  <c r="I107" i="1"/>
  <c r="I103" i="1"/>
  <c r="I99" i="1"/>
  <c r="I95" i="1"/>
  <c r="I106" i="1"/>
  <c r="I104" i="1"/>
  <c r="I102" i="1"/>
  <c r="I100" i="1"/>
  <c r="I98" i="1"/>
  <c r="I96" i="1"/>
  <c r="C90" i="1"/>
  <c r="C91" i="1"/>
  <c r="C92" i="1"/>
  <c r="H90" i="1"/>
  <c r="B90" i="1" s="1"/>
  <c r="G90" i="1" s="1"/>
  <c r="A90" i="1" s="1"/>
  <c r="AD90" i="1" s="1"/>
  <c r="H91" i="1"/>
  <c r="H92" i="1"/>
  <c r="B92" i="1" s="1"/>
  <c r="G92" i="1" s="1"/>
  <c r="A92" i="1" s="1"/>
  <c r="AD92" i="1" s="1"/>
  <c r="J90" i="1"/>
  <c r="J92" i="1"/>
  <c r="Y90" i="1"/>
  <c r="Z90" i="1" s="1"/>
  <c r="Y91" i="1"/>
  <c r="Y92" i="1"/>
  <c r="Z92" i="1" s="1"/>
  <c r="Z91" i="1"/>
  <c r="AA90" i="1"/>
  <c r="AA91" i="1"/>
  <c r="AB90" i="1"/>
  <c r="AC90" i="1" s="1"/>
  <c r="T90" i="1" s="1"/>
  <c r="AF90" i="1"/>
  <c r="AF91" i="1"/>
  <c r="AF92" i="1"/>
  <c r="C89" i="1"/>
  <c r="C93" i="1"/>
  <c r="H89" i="1"/>
  <c r="B89" i="1" s="1"/>
  <c r="G89" i="1" s="1"/>
  <c r="A89" i="1" s="1"/>
  <c r="AD89" i="1" s="1"/>
  <c r="H93" i="1"/>
  <c r="B93" i="1" s="1"/>
  <c r="G93" i="1" s="1"/>
  <c r="A93" i="1" s="1"/>
  <c r="AD93" i="1" s="1"/>
  <c r="I89" i="1"/>
  <c r="J89" i="1"/>
  <c r="J93" i="1"/>
  <c r="Y89" i="1"/>
  <c r="Z89" i="1" s="1"/>
  <c r="Y93" i="1"/>
  <c r="Z93" i="1" s="1"/>
  <c r="AF89" i="1"/>
  <c r="AF93" i="1"/>
  <c r="AA92" i="1" l="1"/>
  <c r="AB92" i="1" s="1"/>
  <c r="AC92" i="1" s="1"/>
  <c r="T92" i="1" s="1"/>
  <c r="AA93" i="1"/>
  <c r="AB93" i="1" s="1"/>
  <c r="AC93" i="1" s="1"/>
  <c r="T93" i="1" s="1"/>
  <c r="AA89" i="1"/>
  <c r="AB89" i="1" s="1"/>
  <c r="AC89" i="1" s="1"/>
  <c r="T89" i="1" s="1"/>
  <c r="I92" i="1"/>
  <c r="I93" i="1"/>
  <c r="I90" i="1"/>
  <c r="AB91" i="1"/>
  <c r="AC91" i="1" s="1"/>
  <c r="T91" i="1" s="1"/>
  <c r="I91" i="1"/>
  <c r="A65" i="1"/>
  <c r="Y65" i="1"/>
  <c r="Z65" i="1" s="1"/>
  <c r="AF65" i="1"/>
  <c r="Y66" i="1"/>
  <c r="Z66" i="1" s="1"/>
  <c r="AF66" i="1"/>
  <c r="AA65" i="1" l="1"/>
  <c r="AB65" i="1" s="1"/>
  <c r="AC65" i="1" s="1"/>
  <c r="T65" i="1" s="1"/>
  <c r="AA66" i="1"/>
  <c r="AB66" i="1" s="1"/>
  <c r="AC66" i="1" s="1"/>
  <c r="T66" i="1" s="1"/>
  <c r="C79" i="1"/>
  <c r="C80" i="1"/>
  <c r="C81" i="1"/>
  <c r="C82" i="1"/>
  <c r="C83" i="1"/>
  <c r="C84" i="1"/>
  <c r="C85" i="1"/>
  <c r="C86" i="1"/>
  <c r="C87" i="1"/>
  <c r="A71" i="1"/>
  <c r="A72" i="1"/>
  <c r="A73" i="1"/>
  <c r="A74" i="1"/>
  <c r="A75" i="1"/>
  <c r="A76" i="1"/>
  <c r="A77" i="1"/>
  <c r="H79" i="1"/>
  <c r="B79" i="1" s="1"/>
  <c r="G79" i="1" s="1"/>
  <c r="A79" i="1" s="1"/>
  <c r="AD79" i="1" s="1"/>
  <c r="H80" i="1"/>
  <c r="H81" i="1"/>
  <c r="B81" i="1" s="1"/>
  <c r="G81" i="1" s="1"/>
  <c r="A81" i="1" s="1"/>
  <c r="AD81" i="1" s="1"/>
  <c r="H82" i="1"/>
  <c r="B82" i="1" s="1"/>
  <c r="G82" i="1" s="1"/>
  <c r="A82" i="1" s="1"/>
  <c r="AD82" i="1" s="1"/>
  <c r="H83" i="1"/>
  <c r="B83" i="1" s="1"/>
  <c r="G83" i="1" s="1"/>
  <c r="A83" i="1" s="1"/>
  <c r="AD83" i="1" s="1"/>
  <c r="H84" i="1"/>
  <c r="I84" i="1" s="1"/>
  <c r="H85" i="1"/>
  <c r="B85" i="1" s="1"/>
  <c r="G85" i="1" s="1"/>
  <c r="A85" i="1" s="1"/>
  <c r="AD85" i="1" s="1"/>
  <c r="H86" i="1"/>
  <c r="B86" i="1" s="1"/>
  <c r="G86" i="1" s="1"/>
  <c r="A86" i="1" s="1"/>
  <c r="AD86" i="1" s="1"/>
  <c r="H87" i="1"/>
  <c r="B87" i="1" s="1"/>
  <c r="G87" i="1" s="1"/>
  <c r="A87" i="1" s="1"/>
  <c r="AD87" i="1" s="1"/>
  <c r="J79" i="1"/>
  <c r="J81" i="1"/>
  <c r="J82" i="1"/>
  <c r="J83" i="1"/>
  <c r="J85" i="1"/>
  <c r="J86" i="1"/>
  <c r="J87" i="1"/>
  <c r="Y71" i="1"/>
  <c r="Z71" i="1" s="1"/>
  <c r="Y72" i="1"/>
  <c r="Z72" i="1" s="1"/>
  <c r="Y73" i="1"/>
  <c r="Z73" i="1" s="1"/>
  <c r="Y74" i="1"/>
  <c r="Z74" i="1" s="1"/>
  <c r="Y75" i="1"/>
  <c r="Z75" i="1" s="1"/>
  <c r="Y76" i="1"/>
  <c r="Z76" i="1" s="1"/>
  <c r="Y77" i="1"/>
  <c r="AA77" i="1" s="1"/>
  <c r="Y78" i="1"/>
  <c r="Z78" i="1" s="1"/>
  <c r="Y79" i="1"/>
  <c r="Z79" i="1" s="1"/>
  <c r="Y80" i="1"/>
  <c r="Z80" i="1" s="1"/>
  <c r="Y81" i="1"/>
  <c r="Z81" i="1" s="1"/>
  <c r="Y82" i="1"/>
  <c r="Z82" i="1" s="1"/>
  <c r="Y83" i="1"/>
  <c r="Z83" i="1" s="1"/>
  <c r="Y84" i="1"/>
  <c r="Z84" i="1" s="1"/>
  <c r="Y85" i="1"/>
  <c r="AA85" i="1" s="1"/>
  <c r="Y86" i="1"/>
  <c r="Z86" i="1" s="1"/>
  <c r="Y87" i="1"/>
  <c r="Z87" i="1" s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C10" i="1"/>
  <c r="H10" i="1"/>
  <c r="C11" i="1"/>
  <c r="H11" i="1"/>
  <c r="B11" i="1" s="1"/>
  <c r="G11" i="1" s="1"/>
  <c r="J11" i="1"/>
  <c r="C12" i="1"/>
  <c r="H12" i="1"/>
  <c r="B12" i="1" s="1"/>
  <c r="G12" i="1" s="1"/>
  <c r="J12" i="1"/>
  <c r="C13" i="1"/>
  <c r="H13" i="1"/>
  <c r="B13" i="1" s="1"/>
  <c r="G13" i="1" s="1"/>
  <c r="J13" i="1"/>
  <c r="C14" i="1"/>
  <c r="H14" i="1"/>
  <c r="B14" i="1" s="1"/>
  <c r="G14" i="1" s="1"/>
  <c r="J14" i="1"/>
  <c r="C15" i="1"/>
  <c r="H15" i="1"/>
  <c r="B15" i="1" s="1"/>
  <c r="G15" i="1" s="1"/>
  <c r="J15" i="1"/>
  <c r="C16" i="1"/>
  <c r="H16" i="1"/>
  <c r="B16" i="1" s="1"/>
  <c r="G16" i="1" s="1"/>
  <c r="J16" i="1"/>
  <c r="C20" i="1"/>
  <c r="C21" i="1"/>
  <c r="H21" i="1"/>
  <c r="B21" i="1" s="1"/>
  <c r="G21" i="1" s="1"/>
  <c r="J21" i="1"/>
  <c r="C22" i="1"/>
  <c r="H22" i="1"/>
  <c r="B22" i="1" s="1"/>
  <c r="G22" i="1" s="1"/>
  <c r="J22" i="1"/>
  <c r="C23" i="1"/>
  <c r="H23" i="1"/>
  <c r="B23" i="1" s="1"/>
  <c r="G23" i="1" s="1"/>
  <c r="J23" i="1"/>
  <c r="C24" i="1"/>
  <c r="H24" i="1"/>
  <c r="B24" i="1" s="1"/>
  <c r="G24" i="1" s="1"/>
  <c r="J24" i="1"/>
  <c r="C17" i="1"/>
  <c r="H17" i="1"/>
  <c r="C25" i="1"/>
  <c r="H25" i="1"/>
  <c r="C26" i="1"/>
  <c r="H26" i="1"/>
  <c r="B26" i="1" s="1"/>
  <c r="G26" i="1" s="1"/>
  <c r="J26" i="1"/>
  <c r="AA72" i="1" l="1"/>
  <c r="AA80" i="1"/>
  <c r="AB80" i="1" s="1"/>
  <c r="AC80" i="1" s="1"/>
  <c r="T80" i="1" s="1"/>
  <c r="Z85" i="1"/>
  <c r="I80" i="1"/>
  <c r="Z77" i="1"/>
  <c r="AB77" i="1" s="1"/>
  <c r="AC77" i="1" s="1"/>
  <c r="T77" i="1" s="1"/>
  <c r="AA84" i="1"/>
  <c r="AB84" i="1" s="1"/>
  <c r="AC84" i="1" s="1"/>
  <c r="T84" i="1" s="1"/>
  <c r="AA76" i="1"/>
  <c r="AB76" i="1" s="1"/>
  <c r="AC76" i="1" s="1"/>
  <c r="T76" i="1" s="1"/>
  <c r="AA86" i="1"/>
  <c r="AB86" i="1" s="1"/>
  <c r="AC86" i="1" s="1"/>
  <c r="T86" i="1" s="1"/>
  <c r="AA82" i="1"/>
  <c r="AB82" i="1" s="1"/>
  <c r="AC82" i="1" s="1"/>
  <c r="T82" i="1" s="1"/>
  <c r="AA78" i="1"/>
  <c r="AB78" i="1" s="1"/>
  <c r="AC78" i="1" s="1"/>
  <c r="T78" i="1" s="1"/>
  <c r="AA74" i="1"/>
  <c r="AB85" i="1"/>
  <c r="AC85" i="1" s="1"/>
  <c r="T85" i="1" s="1"/>
  <c r="AA87" i="1"/>
  <c r="AB87" i="1" s="1"/>
  <c r="AC87" i="1" s="1"/>
  <c r="T87" i="1" s="1"/>
  <c r="AA83" i="1"/>
  <c r="AB83" i="1" s="1"/>
  <c r="AC83" i="1" s="1"/>
  <c r="T83" i="1" s="1"/>
  <c r="AA81" i="1"/>
  <c r="AB81" i="1" s="1"/>
  <c r="AC81" i="1" s="1"/>
  <c r="T81" i="1" s="1"/>
  <c r="AA79" i="1"/>
  <c r="AB79" i="1" s="1"/>
  <c r="AC79" i="1" s="1"/>
  <c r="T79" i="1" s="1"/>
  <c r="AA75" i="1"/>
  <c r="AB75" i="1" s="1"/>
  <c r="AC75" i="1" s="1"/>
  <c r="T75" i="1" s="1"/>
  <c r="AA73" i="1"/>
  <c r="AB73" i="1" s="1"/>
  <c r="AC73" i="1" s="1"/>
  <c r="T73" i="1" s="1"/>
  <c r="AA71" i="1"/>
  <c r="AB71" i="1" s="1"/>
  <c r="AC71" i="1" s="1"/>
  <c r="T71" i="1" s="1"/>
  <c r="I86" i="1"/>
  <c r="I82" i="1"/>
  <c r="AB74" i="1"/>
  <c r="AC74" i="1" s="1"/>
  <c r="T74" i="1" s="1"/>
  <c r="AB72" i="1"/>
  <c r="AC72" i="1" s="1"/>
  <c r="T72" i="1" s="1"/>
  <c r="I79" i="1"/>
  <c r="I87" i="1"/>
  <c r="I85" i="1"/>
  <c r="I83" i="1"/>
  <c r="I81" i="1"/>
  <c r="I26" i="1"/>
  <c r="I25" i="1"/>
  <c r="I17" i="1"/>
  <c r="I24" i="1"/>
  <c r="I23" i="1"/>
  <c r="I22" i="1"/>
  <c r="I21" i="1"/>
  <c r="I20" i="1"/>
  <c r="I16" i="1"/>
  <c r="I15" i="1"/>
  <c r="I14" i="1"/>
  <c r="I13" i="1"/>
  <c r="I12" i="1"/>
  <c r="I11" i="1"/>
  <c r="I10" i="1"/>
  <c r="C51" i="1" l="1"/>
  <c r="C52" i="1"/>
  <c r="C53" i="1"/>
  <c r="C54" i="1"/>
  <c r="C62" i="1"/>
  <c r="H51" i="1"/>
  <c r="B51" i="1" s="1"/>
  <c r="G51" i="1" s="1"/>
  <c r="A51" i="1" s="1"/>
  <c r="AD51" i="1" s="1"/>
  <c r="H52" i="1"/>
  <c r="B52" i="1" s="1"/>
  <c r="G52" i="1" s="1"/>
  <c r="A52" i="1" s="1"/>
  <c r="AD52" i="1" s="1"/>
  <c r="H53" i="1"/>
  <c r="B53" i="1" s="1"/>
  <c r="G53" i="1" s="1"/>
  <c r="A53" i="1" s="1"/>
  <c r="AD53" i="1" s="1"/>
  <c r="H54" i="1"/>
  <c r="B54" i="1" s="1"/>
  <c r="G54" i="1" s="1"/>
  <c r="A54" i="1" s="1"/>
  <c r="AD54" i="1" s="1"/>
  <c r="H55" i="1"/>
  <c r="I55" i="1" s="1"/>
  <c r="H62" i="1"/>
  <c r="B62" i="1" s="1"/>
  <c r="G62" i="1" s="1"/>
  <c r="A62" i="1" s="1"/>
  <c r="AD62" i="1" s="1"/>
  <c r="I52" i="1"/>
  <c r="J51" i="1"/>
  <c r="J52" i="1"/>
  <c r="J53" i="1"/>
  <c r="J54" i="1"/>
  <c r="J62" i="1"/>
  <c r="W54" i="1"/>
  <c r="X54" i="1" s="1"/>
  <c r="Y51" i="1"/>
  <c r="Z51" i="1" s="1"/>
  <c r="Y52" i="1"/>
  <c r="Z52" i="1" s="1"/>
  <c r="Y53" i="1"/>
  <c r="Z53" i="1" s="1"/>
  <c r="Y54" i="1"/>
  <c r="Z54" i="1" s="1"/>
  <c r="Y55" i="1"/>
  <c r="Z55" i="1" s="1"/>
  <c r="Y62" i="1"/>
  <c r="Z62" i="1" s="1"/>
  <c r="Y63" i="1"/>
  <c r="Z63" i="1" s="1"/>
  <c r="AB54" i="1"/>
  <c r="AC54" i="1"/>
  <c r="T54" i="1" s="1"/>
  <c r="AF51" i="1"/>
  <c r="AF52" i="1"/>
  <c r="AF53" i="1"/>
  <c r="AF54" i="1"/>
  <c r="AF55" i="1"/>
  <c r="AF62" i="1"/>
  <c r="AF63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H28" i="1"/>
  <c r="I28" i="1" s="1"/>
  <c r="H29" i="1"/>
  <c r="H30" i="1"/>
  <c r="H31" i="1"/>
  <c r="H32" i="1"/>
  <c r="B32" i="1" s="1"/>
  <c r="G32" i="1" s="1"/>
  <c r="A32" i="1" s="1"/>
  <c r="AD32" i="1" s="1"/>
  <c r="H33" i="1"/>
  <c r="H34" i="1"/>
  <c r="B34" i="1" s="1"/>
  <c r="G34" i="1" s="1"/>
  <c r="A34" i="1" s="1"/>
  <c r="AD34" i="1" s="1"/>
  <c r="H35" i="1"/>
  <c r="H36" i="1"/>
  <c r="B36" i="1" s="1"/>
  <c r="G36" i="1" s="1"/>
  <c r="A36" i="1" s="1"/>
  <c r="AD36" i="1" s="1"/>
  <c r="H37" i="1"/>
  <c r="H38" i="1"/>
  <c r="I38" i="1" s="1"/>
  <c r="H39" i="1"/>
  <c r="H40" i="1"/>
  <c r="H41" i="1"/>
  <c r="H42" i="1"/>
  <c r="B42" i="1" s="1"/>
  <c r="G42" i="1" s="1"/>
  <c r="A42" i="1" s="1"/>
  <c r="AD42" i="1" s="1"/>
  <c r="H43" i="1"/>
  <c r="H44" i="1"/>
  <c r="B44" i="1" s="1"/>
  <c r="G44" i="1" s="1"/>
  <c r="A44" i="1" s="1"/>
  <c r="AD44" i="1" s="1"/>
  <c r="H45" i="1"/>
  <c r="H46" i="1"/>
  <c r="B46" i="1" s="1"/>
  <c r="G46" i="1" s="1"/>
  <c r="A46" i="1" s="1"/>
  <c r="AD46" i="1" s="1"/>
  <c r="H47" i="1"/>
  <c r="H48" i="1"/>
  <c r="B48" i="1" s="1"/>
  <c r="G48" i="1" s="1"/>
  <c r="A48" i="1" s="1"/>
  <c r="AD48" i="1" s="1"/>
  <c r="J29" i="1"/>
  <c r="J31" i="1"/>
  <c r="J32" i="1"/>
  <c r="J33" i="1"/>
  <c r="J34" i="1"/>
  <c r="J35" i="1"/>
  <c r="J36" i="1"/>
  <c r="J39" i="1"/>
  <c r="J41" i="1"/>
  <c r="J42" i="1"/>
  <c r="J43" i="1"/>
  <c r="J44" i="1"/>
  <c r="J45" i="1"/>
  <c r="J46" i="1"/>
  <c r="J47" i="1"/>
  <c r="J48" i="1"/>
  <c r="Y28" i="1"/>
  <c r="Z28" i="1" s="1"/>
  <c r="Y29" i="1"/>
  <c r="AA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Z36" i="1" s="1"/>
  <c r="Y37" i="1"/>
  <c r="Z37" i="1" s="1"/>
  <c r="Y38" i="1"/>
  <c r="Z38" i="1" s="1"/>
  <c r="Y39" i="1"/>
  <c r="AA39" i="1" s="1"/>
  <c r="Y40" i="1"/>
  <c r="Z40" i="1" s="1"/>
  <c r="Y41" i="1"/>
  <c r="Z41" i="1" s="1"/>
  <c r="Y42" i="1"/>
  <c r="Z42" i="1" s="1"/>
  <c r="Y43" i="1"/>
  <c r="AA43" i="1" s="1"/>
  <c r="Y44" i="1"/>
  <c r="Z44" i="1" s="1"/>
  <c r="Y45" i="1"/>
  <c r="Z45" i="1" s="1"/>
  <c r="Y46" i="1"/>
  <c r="Z46" i="1" s="1"/>
  <c r="Y47" i="1"/>
  <c r="AA47" i="1" s="1"/>
  <c r="Y48" i="1"/>
  <c r="Z48" i="1" s="1"/>
  <c r="Z29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C27" i="1"/>
  <c r="C49" i="1"/>
  <c r="C50" i="1"/>
  <c r="A14" i="1"/>
  <c r="AD14" i="1" s="1"/>
  <c r="A15" i="1"/>
  <c r="AD15" i="1" s="1"/>
  <c r="A16" i="1"/>
  <c r="AD16" i="1" s="1"/>
  <c r="A21" i="1"/>
  <c r="AD21" i="1" s="1"/>
  <c r="A22" i="1"/>
  <c r="AD22" i="1" s="1"/>
  <c r="A23" i="1"/>
  <c r="AD23" i="1" s="1"/>
  <c r="A24" i="1"/>
  <c r="AD24" i="1" s="1"/>
  <c r="A26" i="1"/>
  <c r="AD26" i="1" s="1"/>
  <c r="H27" i="1"/>
  <c r="B27" i="1" s="1"/>
  <c r="G27" i="1" s="1"/>
  <c r="A27" i="1" s="1"/>
  <c r="AD27" i="1" s="1"/>
  <c r="H49" i="1"/>
  <c r="B49" i="1" s="1"/>
  <c r="G49" i="1" s="1"/>
  <c r="A49" i="1" s="1"/>
  <c r="AD49" i="1" s="1"/>
  <c r="H50" i="1"/>
  <c r="J27" i="1"/>
  <c r="J49" i="1"/>
  <c r="Y14" i="1"/>
  <c r="Z14" i="1" s="1"/>
  <c r="Y15" i="1"/>
  <c r="AA15" i="1" s="1"/>
  <c r="Y16" i="1"/>
  <c r="Z16" i="1" s="1"/>
  <c r="Y20" i="1"/>
  <c r="Z20" i="1" s="1"/>
  <c r="Y21" i="1"/>
  <c r="Z21" i="1" s="1"/>
  <c r="Y22" i="1"/>
  <c r="Z22" i="1" s="1"/>
  <c r="Y23" i="1"/>
  <c r="Z23" i="1" s="1"/>
  <c r="Y24" i="1"/>
  <c r="Z24" i="1" s="1"/>
  <c r="Y17" i="1"/>
  <c r="Z17" i="1" s="1"/>
  <c r="Y25" i="1"/>
  <c r="Z25" i="1" s="1"/>
  <c r="Y26" i="1"/>
  <c r="Z26" i="1" s="1"/>
  <c r="Y27" i="1"/>
  <c r="Z27" i="1" s="1"/>
  <c r="Y49" i="1"/>
  <c r="Z49" i="1" s="1"/>
  <c r="Y50" i="1"/>
  <c r="Z50" i="1" s="1"/>
  <c r="AF14" i="1"/>
  <c r="AF15" i="1"/>
  <c r="AF16" i="1"/>
  <c r="AF20" i="1"/>
  <c r="AF21" i="1"/>
  <c r="AF22" i="1"/>
  <c r="AF23" i="1"/>
  <c r="AF24" i="1"/>
  <c r="AF17" i="1"/>
  <c r="AF25" i="1"/>
  <c r="AF26" i="1"/>
  <c r="AF27" i="1"/>
  <c r="AF49" i="1"/>
  <c r="AF50" i="1"/>
  <c r="C5" i="1"/>
  <c r="C6" i="1"/>
  <c r="C7" i="1"/>
  <c r="C8" i="1"/>
  <c r="C9" i="1"/>
  <c r="H5" i="1"/>
  <c r="B5" i="1" s="1"/>
  <c r="G5" i="1" s="1"/>
  <c r="A5" i="1" s="1"/>
  <c r="AD5" i="1" s="1"/>
  <c r="H6" i="1"/>
  <c r="I6" i="1" s="1"/>
  <c r="H7" i="1"/>
  <c r="B7" i="1" s="1"/>
  <c r="G7" i="1" s="1"/>
  <c r="A7" i="1" s="1"/>
  <c r="AD7" i="1" s="1"/>
  <c r="H8" i="1"/>
  <c r="B8" i="1" s="1"/>
  <c r="G8" i="1" s="1"/>
  <c r="A8" i="1" s="1"/>
  <c r="AD8" i="1" s="1"/>
  <c r="H9" i="1"/>
  <c r="B9" i="1" s="1"/>
  <c r="G9" i="1" s="1"/>
  <c r="A9" i="1" s="1"/>
  <c r="AD9" i="1" s="1"/>
  <c r="A11" i="1"/>
  <c r="AD11" i="1" s="1"/>
  <c r="A12" i="1"/>
  <c r="AD12" i="1" s="1"/>
  <c r="J5" i="1"/>
  <c r="J7" i="1"/>
  <c r="J8" i="1"/>
  <c r="J9" i="1"/>
  <c r="Y5" i="1"/>
  <c r="Y6" i="1"/>
  <c r="Y7" i="1"/>
  <c r="Y8" i="1"/>
  <c r="Y9" i="1"/>
  <c r="Z9" i="1" s="1"/>
  <c r="Y10" i="1"/>
  <c r="Z10" i="1" s="1"/>
  <c r="Y11" i="1"/>
  <c r="Z11" i="1" s="1"/>
  <c r="Y12" i="1"/>
  <c r="Z12" i="1" s="1"/>
  <c r="Z5" i="1"/>
  <c r="Z6" i="1"/>
  <c r="Z7" i="1"/>
  <c r="Z8" i="1"/>
  <c r="AA5" i="1"/>
  <c r="AA6" i="1"/>
  <c r="AA7" i="1"/>
  <c r="AA8" i="1"/>
  <c r="AA9" i="1"/>
  <c r="AA10" i="1"/>
  <c r="AB5" i="1"/>
  <c r="AC5" i="1"/>
  <c r="T5" i="1" s="1"/>
  <c r="AF5" i="1"/>
  <c r="AF6" i="1"/>
  <c r="AF7" i="1"/>
  <c r="AF8" i="1"/>
  <c r="AF9" i="1"/>
  <c r="AF10" i="1"/>
  <c r="AF11" i="1"/>
  <c r="AF12" i="1"/>
  <c r="AB8" i="1" l="1"/>
  <c r="AC8" i="1" s="1"/>
  <c r="T8" i="1" s="1"/>
  <c r="AB10" i="1"/>
  <c r="AC10" i="1" s="1"/>
  <c r="T10" i="1" s="1"/>
  <c r="AB6" i="1"/>
  <c r="AC6" i="1" s="1"/>
  <c r="T6" i="1" s="1"/>
  <c r="AB9" i="1"/>
  <c r="AC9" i="1" s="1"/>
  <c r="T9" i="1" s="1"/>
  <c r="AA12" i="1"/>
  <c r="AB12" i="1" s="1"/>
  <c r="AC12" i="1" s="1"/>
  <c r="T12" i="1" s="1"/>
  <c r="AB7" i="1"/>
  <c r="AC7" i="1" s="1"/>
  <c r="T7" i="1" s="1"/>
  <c r="AA11" i="1"/>
  <c r="AB11" i="1" s="1"/>
  <c r="AC11" i="1" s="1"/>
  <c r="T11" i="1" s="1"/>
  <c r="AA63" i="1"/>
  <c r="AB63" i="1" s="1"/>
  <c r="AC63" i="1" s="1"/>
  <c r="T63" i="1" s="1"/>
  <c r="AA53" i="1"/>
  <c r="AB53" i="1" s="1"/>
  <c r="AC53" i="1" s="1"/>
  <c r="T53" i="1" s="1"/>
  <c r="I8" i="1"/>
  <c r="Z15" i="1"/>
  <c r="AB15" i="1" s="1"/>
  <c r="AC15" i="1" s="1"/>
  <c r="T15" i="1" s="1"/>
  <c r="AA55" i="1"/>
  <c r="AB55" i="1" s="1"/>
  <c r="AC55" i="1" s="1"/>
  <c r="T55" i="1" s="1"/>
  <c r="AA51" i="1"/>
  <c r="AB51" i="1" s="1"/>
  <c r="AC51" i="1" s="1"/>
  <c r="T51" i="1" s="1"/>
  <c r="I62" i="1"/>
  <c r="I54" i="1"/>
  <c r="I9" i="1"/>
  <c r="I7" i="1"/>
  <c r="I5" i="1"/>
  <c r="AA62" i="1"/>
  <c r="AB62" i="1" s="1"/>
  <c r="AC62" i="1" s="1"/>
  <c r="T62" i="1" s="1"/>
  <c r="AA54" i="1"/>
  <c r="AA52" i="1"/>
  <c r="AB52" i="1" s="1"/>
  <c r="AC52" i="1" s="1"/>
  <c r="T52" i="1" s="1"/>
  <c r="I53" i="1"/>
  <c r="I51" i="1"/>
  <c r="AA37" i="1"/>
  <c r="AB37" i="1" s="1"/>
  <c r="AC37" i="1" s="1"/>
  <c r="T37" i="1" s="1"/>
  <c r="I42" i="1"/>
  <c r="I34" i="1"/>
  <c r="AA45" i="1"/>
  <c r="AB45" i="1" s="1"/>
  <c r="AC45" i="1" s="1"/>
  <c r="T45" i="1" s="1"/>
  <c r="Z43" i="1"/>
  <c r="AB43" i="1" s="1"/>
  <c r="AC43" i="1" s="1"/>
  <c r="T43" i="1" s="1"/>
  <c r="I46" i="1"/>
  <c r="I30" i="1"/>
  <c r="AA41" i="1"/>
  <c r="AB41" i="1" s="1"/>
  <c r="AC41" i="1" s="1"/>
  <c r="T41" i="1" s="1"/>
  <c r="Z47" i="1"/>
  <c r="AB47" i="1" s="1"/>
  <c r="AC47" i="1" s="1"/>
  <c r="T47" i="1" s="1"/>
  <c r="Z39" i="1"/>
  <c r="AB39" i="1" s="1"/>
  <c r="AC39" i="1" s="1"/>
  <c r="T39" i="1" s="1"/>
  <c r="I48" i="1"/>
  <c r="I44" i="1"/>
  <c r="I40" i="1"/>
  <c r="I36" i="1"/>
  <c r="I32" i="1"/>
  <c r="AB29" i="1"/>
  <c r="AC29" i="1" s="1"/>
  <c r="T29" i="1" s="1"/>
  <c r="AA33" i="1"/>
  <c r="AB33" i="1" s="1"/>
  <c r="AC33" i="1" s="1"/>
  <c r="T33" i="1" s="1"/>
  <c r="AA35" i="1"/>
  <c r="AB35" i="1" s="1"/>
  <c r="AC35" i="1" s="1"/>
  <c r="T35" i="1" s="1"/>
  <c r="AA31" i="1"/>
  <c r="AB31" i="1" s="1"/>
  <c r="AC31" i="1" s="1"/>
  <c r="T31" i="1" s="1"/>
  <c r="AA48" i="1"/>
  <c r="AB48" i="1" s="1"/>
  <c r="AC48" i="1" s="1"/>
  <c r="T48" i="1" s="1"/>
  <c r="AA46" i="1"/>
  <c r="AB46" i="1" s="1"/>
  <c r="AC46" i="1" s="1"/>
  <c r="T46" i="1" s="1"/>
  <c r="AA44" i="1"/>
  <c r="AB44" i="1" s="1"/>
  <c r="AC44" i="1" s="1"/>
  <c r="T44" i="1" s="1"/>
  <c r="AA42" i="1"/>
  <c r="AB42" i="1" s="1"/>
  <c r="AC42" i="1" s="1"/>
  <c r="T42" i="1" s="1"/>
  <c r="AA40" i="1"/>
  <c r="AB40" i="1" s="1"/>
  <c r="AC40" i="1" s="1"/>
  <c r="T40" i="1" s="1"/>
  <c r="AA38" i="1"/>
  <c r="AB38" i="1" s="1"/>
  <c r="AC38" i="1" s="1"/>
  <c r="T38" i="1" s="1"/>
  <c r="AA36" i="1"/>
  <c r="AB36" i="1" s="1"/>
  <c r="AC36" i="1" s="1"/>
  <c r="T36" i="1" s="1"/>
  <c r="AA34" i="1"/>
  <c r="AB34" i="1" s="1"/>
  <c r="AC34" i="1" s="1"/>
  <c r="T34" i="1" s="1"/>
  <c r="AA32" i="1"/>
  <c r="AB32" i="1" s="1"/>
  <c r="AC32" i="1" s="1"/>
  <c r="T32" i="1" s="1"/>
  <c r="AA30" i="1"/>
  <c r="AB30" i="1" s="1"/>
  <c r="AC30" i="1" s="1"/>
  <c r="T30" i="1" s="1"/>
  <c r="AA28" i="1"/>
  <c r="AB28" i="1" s="1"/>
  <c r="AC28" i="1" s="1"/>
  <c r="T28" i="1" s="1"/>
  <c r="B47" i="1"/>
  <c r="G47" i="1" s="1"/>
  <c r="A47" i="1" s="1"/>
  <c r="I47" i="1"/>
  <c r="B45" i="1"/>
  <c r="G45" i="1" s="1"/>
  <c r="A45" i="1" s="1"/>
  <c r="I45" i="1"/>
  <c r="B43" i="1"/>
  <c r="G43" i="1" s="1"/>
  <c r="A43" i="1" s="1"/>
  <c r="I43" i="1"/>
  <c r="B41" i="1"/>
  <c r="G41" i="1" s="1"/>
  <c r="A41" i="1" s="1"/>
  <c r="I41" i="1"/>
  <c r="B39" i="1"/>
  <c r="G39" i="1" s="1"/>
  <c r="A39" i="1" s="1"/>
  <c r="I39" i="1"/>
  <c r="I37" i="1"/>
  <c r="B35" i="1"/>
  <c r="G35" i="1" s="1"/>
  <c r="A35" i="1" s="1"/>
  <c r="I35" i="1"/>
  <c r="B33" i="1"/>
  <c r="G33" i="1" s="1"/>
  <c r="A33" i="1" s="1"/>
  <c r="I33" i="1"/>
  <c r="B31" i="1"/>
  <c r="G31" i="1" s="1"/>
  <c r="A31" i="1" s="1"/>
  <c r="I31" i="1"/>
  <c r="B29" i="1"/>
  <c r="G29" i="1" s="1"/>
  <c r="A29" i="1" s="1"/>
  <c r="I29" i="1"/>
  <c r="AA25" i="1"/>
  <c r="AB25" i="1" s="1"/>
  <c r="AC25" i="1" s="1"/>
  <c r="T25" i="1" s="1"/>
  <c r="AA50" i="1"/>
  <c r="AB50" i="1" s="1"/>
  <c r="AC50" i="1" s="1"/>
  <c r="T50" i="1" s="1"/>
  <c r="AA22" i="1"/>
  <c r="AB22" i="1" s="1"/>
  <c r="AC22" i="1" s="1"/>
  <c r="T22" i="1" s="1"/>
  <c r="AA27" i="1"/>
  <c r="AB27" i="1" s="1"/>
  <c r="AC27" i="1" s="1"/>
  <c r="T27" i="1" s="1"/>
  <c r="AA24" i="1"/>
  <c r="AB24" i="1" s="1"/>
  <c r="AC24" i="1" s="1"/>
  <c r="T24" i="1" s="1"/>
  <c r="AA20" i="1"/>
  <c r="AB20" i="1" s="1"/>
  <c r="AC20" i="1" s="1"/>
  <c r="T20" i="1" s="1"/>
  <c r="AA49" i="1"/>
  <c r="AB49" i="1" s="1"/>
  <c r="AC49" i="1" s="1"/>
  <c r="T49" i="1" s="1"/>
  <c r="AA26" i="1"/>
  <c r="AB26" i="1" s="1"/>
  <c r="AC26" i="1" s="1"/>
  <c r="T26" i="1" s="1"/>
  <c r="AA17" i="1"/>
  <c r="AB17" i="1" s="1"/>
  <c r="AC17" i="1" s="1"/>
  <c r="T17" i="1" s="1"/>
  <c r="AA23" i="1"/>
  <c r="AB23" i="1" s="1"/>
  <c r="AC23" i="1" s="1"/>
  <c r="T23" i="1" s="1"/>
  <c r="AA21" i="1"/>
  <c r="AB21" i="1" s="1"/>
  <c r="AC21" i="1" s="1"/>
  <c r="T21" i="1" s="1"/>
  <c r="AA16" i="1"/>
  <c r="AB16" i="1" s="1"/>
  <c r="AC16" i="1" s="1"/>
  <c r="T16" i="1" s="1"/>
  <c r="AA14" i="1"/>
  <c r="AB14" i="1" s="1"/>
  <c r="AC14" i="1" s="1"/>
  <c r="T14" i="1" s="1"/>
  <c r="I49" i="1"/>
  <c r="I50" i="1"/>
  <c r="I27" i="1"/>
  <c r="AD39" i="1" l="1"/>
  <c r="AD41" i="1"/>
  <c r="AD43" i="1"/>
  <c r="AD45" i="1"/>
  <c r="AD47" i="1"/>
  <c r="AD29" i="1"/>
  <c r="AD31" i="1"/>
  <c r="AD33" i="1"/>
  <c r="AD35" i="1"/>
  <c r="C360" i="1" l="1"/>
  <c r="H360" i="1"/>
  <c r="I360" i="1" s="1"/>
  <c r="J360" i="1"/>
  <c r="W360" i="1"/>
  <c r="X360" i="1" s="1"/>
  <c r="Y360" i="1"/>
  <c r="Z360" i="1" s="1"/>
  <c r="AB360" i="1"/>
  <c r="AC360" i="1"/>
  <c r="T360" i="1" s="1"/>
  <c r="AF360" i="1"/>
  <c r="B360" i="1" l="1"/>
  <c r="G360" i="1" s="1"/>
  <c r="A360" i="1" s="1"/>
  <c r="AD360" i="1" s="1"/>
  <c r="AA360" i="1"/>
  <c r="C237" i="1"/>
  <c r="C238" i="1"/>
  <c r="C239" i="1"/>
  <c r="H237" i="1"/>
  <c r="B237" i="1" s="1"/>
  <c r="G237" i="1" s="1"/>
  <c r="A237" i="1" s="1"/>
  <c r="AD237" i="1" s="1"/>
  <c r="H238" i="1"/>
  <c r="B238" i="1" s="1"/>
  <c r="G238" i="1" s="1"/>
  <c r="A238" i="1" s="1"/>
  <c r="AD238" i="1" s="1"/>
  <c r="H239" i="1"/>
  <c r="B239" i="1" s="1"/>
  <c r="G239" i="1" s="1"/>
  <c r="A239" i="1" s="1"/>
  <c r="AD239" i="1" s="1"/>
  <c r="J237" i="1"/>
  <c r="J238" i="1"/>
  <c r="J239" i="1"/>
  <c r="W237" i="1"/>
  <c r="X237" i="1" s="1"/>
  <c r="W238" i="1"/>
  <c r="X238" i="1" s="1"/>
  <c r="W239" i="1"/>
  <c r="X239" i="1" s="1"/>
  <c r="Y237" i="1"/>
  <c r="Z237" i="1" s="1"/>
  <c r="Y238" i="1"/>
  <c r="Y239" i="1"/>
  <c r="Z239" i="1" s="1"/>
  <c r="Z238" i="1"/>
  <c r="AA237" i="1"/>
  <c r="AA238" i="1"/>
  <c r="AA239" i="1"/>
  <c r="AB237" i="1"/>
  <c r="AB238" i="1"/>
  <c r="AB239" i="1"/>
  <c r="AC237" i="1"/>
  <c r="T237" i="1" s="1"/>
  <c r="AC238" i="1"/>
  <c r="T238" i="1" s="1"/>
  <c r="AC239" i="1"/>
  <c r="T239" i="1" s="1"/>
  <c r="AF237" i="1"/>
  <c r="AF238" i="1"/>
  <c r="AF239" i="1"/>
  <c r="C203" i="1"/>
  <c r="H203" i="1"/>
  <c r="B203" i="1" s="1"/>
  <c r="G203" i="1" s="1"/>
  <c r="A203" i="1" s="1"/>
  <c r="AD203" i="1" s="1"/>
  <c r="J203" i="1"/>
  <c r="W203" i="1"/>
  <c r="X203" i="1" s="1"/>
  <c r="Y203" i="1"/>
  <c r="Z203" i="1" s="1"/>
  <c r="AB203" i="1"/>
  <c r="AC203" i="1"/>
  <c r="T203" i="1" s="1"/>
  <c r="AF203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H205" i="1"/>
  <c r="B205" i="1" s="1"/>
  <c r="G205" i="1" s="1"/>
  <c r="A205" i="1" s="1"/>
  <c r="AD205" i="1" s="1"/>
  <c r="H206" i="1"/>
  <c r="B206" i="1" s="1"/>
  <c r="G206" i="1" s="1"/>
  <c r="A206" i="1" s="1"/>
  <c r="AD206" i="1" s="1"/>
  <c r="H207" i="1"/>
  <c r="B207" i="1" s="1"/>
  <c r="G207" i="1" s="1"/>
  <c r="A207" i="1" s="1"/>
  <c r="AD207" i="1" s="1"/>
  <c r="H208" i="1"/>
  <c r="B208" i="1" s="1"/>
  <c r="G208" i="1" s="1"/>
  <c r="A208" i="1" s="1"/>
  <c r="AD208" i="1" s="1"/>
  <c r="H209" i="1"/>
  <c r="B209" i="1" s="1"/>
  <c r="G209" i="1" s="1"/>
  <c r="A209" i="1" s="1"/>
  <c r="AD209" i="1" s="1"/>
  <c r="H210" i="1"/>
  <c r="B210" i="1" s="1"/>
  <c r="G210" i="1" s="1"/>
  <c r="A210" i="1" s="1"/>
  <c r="AD210" i="1" s="1"/>
  <c r="H211" i="1"/>
  <c r="B211" i="1" s="1"/>
  <c r="G211" i="1" s="1"/>
  <c r="A211" i="1" s="1"/>
  <c r="AD211" i="1" s="1"/>
  <c r="H212" i="1"/>
  <c r="B212" i="1" s="1"/>
  <c r="G212" i="1" s="1"/>
  <c r="A212" i="1" s="1"/>
  <c r="AD212" i="1" s="1"/>
  <c r="H213" i="1"/>
  <c r="B213" i="1" s="1"/>
  <c r="G213" i="1" s="1"/>
  <c r="A213" i="1" s="1"/>
  <c r="AD213" i="1" s="1"/>
  <c r="H214" i="1"/>
  <c r="B214" i="1" s="1"/>
  <c r="G214" i="1" s="1"/>
  <c r="A214" i="1" s="1"/>
  <c r="AD214" i="1" s="1"/>
  <c r="H215" i="1"/>
  <c r="B215" i="1" s="1"/>
  <c r="G215" i="1" s="1"/>
  <c r="A215" i="1" s="1"/>
  <c r="AD215" i="1" s="1"/>
  <c r="H216" i="1"/>
  <c r="B216" i="1" s="1"/>
  <c r="G216" i="1" s="1"/>
  <c r="A216" i="1" s="1"/>
  <c r="AD216" i="1" s="1"/>
  <c r="H217" i="1"/>
  <c r="B217" i="1" s="1"/>
  <c r="G217" i="1" s="1"/>
  <c r="A217" i="1" s="1"/>
  <c r="AD217" i="1" s="1"/>
  <c r="H218" i="1"/>
  <c r="B218" i="1" s="1"/>
  <c r="G218" i="1" s="1"/>
  <c r="A218" i="1" s="1"/>
  <c r="AD218" i="1" s="1"/>
  <c r="H219" i="1"/>
  <c r="B219" i="1" s="1"/>
  <c r="G219" i="1" s="1"/>
  <c r="A219" i="1" s="1"/>
  <c r="AD219" i="1" s="1"/>
  <c r="H220" i="1"/>
  <c r="B220" i="1" s="1"/>
  <c r="G220" i="1" s="1"/>
  <c r="A220" i="1" s="1"/>
  <c r="AD220" i="1" s="1"/>
  <c r="H221" i="1"/>
  <c r="B221" i="1" s="1"/>
  <c r="G221" i="1" s="1"/>
  <c r="A221" i="1" s="1"/>
  <c r="AD221" i="1" s="1"/>
  <c r="H222" i="1"/>
  <c r="B222" i="1" s="1"/>
  <c r="G222" i="1" s="1"/>
  <c r="A222" i="1" s="1"/>
  <c r="AD222" i="1" s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I205" i="1"/>
  <c r="I206" i="1"/>
  <c r="I207" i="1"/>
  <c r="I208" i="1"/>
  <c r="I209" i="1"/>
  <c r="I210" i="1"/>
  <c r="I211" i="1"/>
  <c r="I212" i="1"/>
  <c r="I213" i="1"/>
  <c r="I214" i="1"/>
  <c r="I215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W216" i="1"/>
  <c r="X216" i="1" s="1"/>
  <c r="W217" i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X217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C205" i="1"/>
  <c r="T205" i="1" s="1"/>
  <c r="AC206" i="1"/>
  <c r="T206" i="1" s="1"/>
  <c r="AC207" i="1"/>
  <c r="T207" i="1" s="1"/>
  <c r="AC208" i="1"/>
  <c r="T208" i="1" s="1"/>
  <c r="AC209" i="1"/>
  <c r="T209" i="1" s="1"/>
  <c r="AC210" i="1"/>
  <c r="T210" i="1" s="1"/>
  <c r="AC211" i="1"/>
  <c r="T211" i="1" s="1"/>
  <c r="AC212" i="1"/>
  <c r="T212" i="1" s="1"/>
  <c r="AC213" i="1"/>
  <c r="T213" i="1" s="1"/>
  <c r="AC214" i="1"/>
  <c r="T214" i="1" s="1"/>
  <c r="AC215" i="1"/>
  <c r="T215" i="1" s="1"/>
  <c r="AC216" i="1"/>
  <c r="T216" i="1" s="1"/>
  <c r="AC217" i="1"/>
  <c r="T217" i="1" s="1"/>
  <c r="AC218" i="1"/>
  <c r="T218" i="1" s="1"/>
  <c r="AC219" i="1"/>
  <c r="T219" i="1" s="1"/>
  <c r="AC220" i="1"/>
  <c r="T220" i="1" s="1"/>
  <c r="AC221" i="1"/>
  <c r="T221" i="1" s="1"/>
  <c r="AC222" i="1"/>
  <c r="T222" i="1" s="1"/>
  <c r="AC223" i="1"/>
  <c r="T223" i="1" s="1"/>
  <c r="AC224" i="1"/>
  <c r="T224" i="1" s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C191" i="1"/>
  <c r="C192" i="1"/>
  <c r="H191" i="1"/>
  <c r="B191" i="1" s="1"/>
  <c r="G191" i="1" s="1"/>
  <c r="A191" i="1" s="1"/>
  <c r="AD191" i="1" s="1"/>
  <c r="H192" i="1"/>
  <c r="B192" i="1" s="1"/>
  <c r="G192" i="1" s="1"/>
  <c r="A192" i="1" s="1"/>
  <c r="AD192" i="1" s="1"/>
  <c r="J191" i="1"/>
  <c r="J192" i="1"/>
  <c r="W192" i="1"/>
  <c r="X192" i="1" s="1"/>
  <c r="Y191" i="1"/>
  <c r="Y192" i="1"/>
  <c r="Z191" i="1"/>
  <c r="Z192" i="1"/>
  <c r="AA191" i="1"/>
  <c r="AA192" i="1"/>
  <c r="AB191" i="1"/>
  <c r="AB192" i="1"/>
  <c r="AC191" i="1"/>
  <c r="T191" i="1" s="1"/>
  <c r="AC192" i="1"/>
  <c r="T192" i="1" s="1"/>
  <c r="AF191" i="1"/>
  <c r="AF192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H177" i="1"/>
  <c r="H178" i="1"/>
  <c r="B178" i="1" s="1"/>
  <c r="G178" i="1" s="1"/>
  <c r="A178" i="1" s="1"/>
  <c r="AD178" i="1" s="1"/>
  <c r="H179" i="1"/>
  <c r="B179" i="1" s="1"/>
  <c r="G179" i="1" s="1"/>
  <c r="A179" i="1" s="1"/>
  <c r="H180" i="1"/>
  <c r="B180" i="1" s="1"/>
  <c r="G180" i="1" s="1"/>
  <c r="A180" i="1" s="1"/>
  <c r="AD180" i="1" s="1"/>
  <c r="H181" i="1"/>
  <c r="B181" i="1" s="1"/>
  <c r="G181" i="1" s="1"/>
  <c r="A181" i="1" s="1"/>
  <c r="H182" i="1"/>
  <c r="B182" i="1" s="1"/>
  <c r="G182" i="1" s="1"/>
  <c r="A182" i="1" s="1"/>
  <c r="AD182" i="1" s="1"/>
  <c r="H183" i="1"/>
  <c r="B183" i="1" s="1"/>
  <c r="G183" i="1" s="1"/>
  <c r="A183" i="1" s="1"/>
  <c r="H184" i="1"/>
  <c r="B184" i="1" s="1"/>
  <c r="G184" i="1" s="1"/>
  <c r="A184" i="1" s="1"/>
  <c r="AD184" i="1" s="1"/>
  <c r="H185" i="1"/>
  <c r="B185" i="1" s="1"/>
  <c r="G185" i="1" s="1"/>
  <c r="A185" i="1" s="1"/>
  <c r="AD185" i="1" s="1"/>
  <c r="H186" i="1"/>
  <c r="B186" i="1" s="1"/>
  <c r="G186" i="1" s="1"/>
  <c r="A186" i="1" s="1"/>
  <c r="AD186" i="1" s="1"/>
  <c r="H187" i="1"/>
  <c r="B187" i="1" s="1"/>
  <c r="G187" i="1" s="1"/>
  <c r="A187" i="1" s="1"/>
  <c r="AD187" i="1" s="1"/>
  <c r="H188" i="1"/>
  <c r="B188" i="1" s="1"/>
  <c r="G188" i="1" s="1"/>
  <c r="A188" i="1" s="1"/>
  <c r="AD188" i="1" s="1"/>
  <c r="I177" i="1"/>
  <c r="I178" i="1"/>
  <c r="I179" i="1"/>
  <c r="I180" i="1"/>
  <c r="I181" i="1"/>
  <c r="I182" i="1"/>
  <c r="I183" i="1"/>
  <c r="I184" i="1"/>
  <c r="I185" i="1"/>
  <c r="I186" i="1"/>
  <c r="I187" i="1"/>
  <c r="I188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W185" i="1"/>
  <c r="W186" i="1"/>
  <c r="X186" i="1" s="1"/>
  <c r="W187" i="1"/>
  <c r="X187" i="1" s="1"/>
  <c r="W188" i="1"/>
  <c r="X188" i="1" s="1"/>
  <c r="X185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C177" i="1"/>
  <c r="T177" i="1" s="1"/>
  <c r="AC178" i="1"/>
  <c r="T178" i="1" s="1"/>
  <c r="AC179" i="1"/>
  <c r="T179" i="1" s="1"/>
  <c r="AC180" i="1"/>
  <c r="T180" i="1" s="1"/>
  <c r="AC181" i="1"/>
  <c r="T181" i="1" s="1"/>
  <c r="AC182" i="1"/>
  <c r="T182" i="1" s="1"/>
  <c r="AC183" i="1"/>
  <c r="T183" i="1" s="1"/>
  <c r="AC184" i="1"/>
  <c r="T184" i="1" s="1"/>
  <c r="AC185" i="1"/>
  <c r="T185" i="1" s="1"/>
  <c r="AC186" i="1"/>
  <c r="T186" i="1" s="1"/>
  <c r="AC187" i="1"/>
  <c r="T187" i="1" s="1"/>
  <c r="AC188" i="1"/>
  <c r="T188" i="1" s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C140" i="1"/>
  <c r="C159" i="1"/>
  <c r="C160" i="1"/>
  <c r="C167" i="1"/>
  <c r="H140" i="1"/>
  <c r="H159" i="1"/>
  <c r="H160" i="1"/>
  <c r="B160" i="1" s="1"/>
  <c r="G160" i="1" s="1"/>
  <c r="A160" i="1" s="1"/>
  <c r="AD160" i="1" s="1"/>
  <c r="H167" i="1"/>
  <c r="J160" i="1"/>
  <c r="J167" i="1"/>
  <c r="Y140" i="1"/>
  <c r="Z140" i="1" s="1"/>
  <c r="Y159" i="1"/>
  <c r="Z159" i="1" s="1"/>
  <c r="Y160" i="1"/>
  <c r="Z160" i="1" s="1"/>
  <c r="Y167" i="1"/>
  <c r="Z167" i="1" s="1"/>
  <c r="AF140" i="1"/>
  <c r="AF159" i="1"/>
  <c r="AF160" i="1"/>
  <c r="AF167" i="1"/>
  <c r="E29" i="3"/>
  <c r="E30" i="3"/>
  <c r="C88" i="1"/>
  <c r="C94" i="1"/>
  <c r="C108" i="1"/>
  <c r="H88" i="1"/>
  <c r="H94" i="1"/>
  <c r="H108" i="1"/>
  <c r="Y88" i="1"/>
  <c r="Z88" i="1" s="1"/>
  <c r="Y94" i="1"/>
  <c r="Z94" i="1" s="1"/>
  <c r="Y108" i="1"/>
  <c r="Z108" i="1" s="1"/>
  <c r="AF88" i="1"/>
  <c r="AF94" i="1"/>
  <c r="AF108" i="1"/>
  <c r="J126" i="1" l="1"/>
  <c r="J128" i="1"/>
  <c r="J130" i="1"/>
  <c r="J124" i="1"/>
  <c r="I223" i="1"/>
  <c r="I219" i="1"/>
  <c r="J142" i="1"/>
  <c r="I221" i="1"/>
  <c r="I217" i="1"/>
  <c r="I224" i="1"/>
  <c r="I222" i="1"/>
  <c r="I220" i="1"/>
  <c r="I218" i="1"/>
  <c r="I216" i="1"/>
  <c r="I191" i="1"/>
  <c r="I192" i="1"/>
  <c r="AA94" i="1"/>
  <c r="AB94" i="1" s="1"/>
  <c r="AC94" i="1" s="1"/>
  <c r="T94" i="1" s="1"/>
  <c r="I239" i="1"/>
  <c r="AA108" i="1"/>
  <c r="AB108" i="1" s="1"/>
  <c r="AC108" i="1" s="1"/>
  <c r="T108" i="1" s="1"/>
  <c r="AA88" i="1"/>
  <c r="AB88" i="1" s="1"/>
  <c r="AC88" i="1" s="1"/>
  <c r="T88" i="1" s="1"/>
  <c r="I237" i="1"/>
  <c r="AA203" i="1"/>
  <c r="AA160" i="1"/>
  <c r="AB160" i="1" s="1"/>
  <c r="AC160" i="1" s="1"/>
  <c r="T160" i="1" s="1"/>
  <c r="I167" i="1"/>
  <c r="I203" i="1"/>
  <c r="I238" i="1"/>
  <c r="AA167" i="1"/>
  <c r="AB167" i="1" s="1"/>
  <c r="AC167" i="1" s="1"/>
  <c r="T167" i="1" s="1"/>
  <c r="AA159" i="1"/>
  <c r="AB159" i="1" s="1"/>
  <c r="AC159" i="1" s="1"/>
  <c r="T159" i="1" s="1"/>
  <c r="AA140" i="1"/>
  <c r="AB140" i="1" s="1"/>
  <c r="AC140" i="1" s="1"/>
  <c r="T140" i="1" s="1"/>
  <c r="I140" i="1"/>
  <c r="AD183" i="1"/>
  <c r="AD181" i="1"/>
  <c r="AD179" i="1"/>
  <c r="I159" i="1"/>
  <c r="I160" i="1"/>
  <c r="I108" i="1"/>
  <c r="I88" i="1"/>
  <c r="I94" i="1"/>
  <c r="C227" i="1" l="1"/>
  <c r="C228" i="1"/>
  <c r="C229" i="1"/>
  <c r="C230" i="1"/>
  <c r="C231" i="1"/>
  <c r="C232" i="1"/>
  <c r="C233" i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H229" i="1"/>
  <c r="B229" i="1" s="1"/>
  <c r="G229" i="1" s="1"/>
  <c r="A229" i="1" s="1"/>
  <c r="AD229" i="1" s="1"/>
  <c r="H230" i="1"/>
  <c r="B230" i="1" s="1"/>
  <c r="G230" i="1" s="1"/>
  <c r="A230" i="1" s="1"/>
  <c r="AD230" i="1" s="1"/>
  <c r="H231" i="1"/>
  <c r="B231" i="1" s="1"/>
  <c r="G231" i="1" s="1"/>
  <c r="A231" i="1" s="1"/>
  <c r="AD231" i="1" s="1"/>
  <c r="H232" i="1"/>
  <c r="B232" i="1" s="1"/>
  <c r="G232" i="1" s="1"/>
  <c r="A232" i="1" s="1"/>
  <c r="AD232" i="1" s="1"/>
  <c r="H233" i="1"/>
  <c r="B233" i="1" s="1"/>
  <c r="G233" i="1" s="1"/>
  <c r="A233" i="1" s="1"/>
  <c r="AD233" i="1" s="1"/>
  <c r="I228" i="1"/>
  <c r="J227" i="1"/>
  <c r="J228" i="1"/>
  <c r="J229" i="1"/>
  <c r="J230" i="1"/>
  <c r="J231" i="1"/>
  <c r="J232" i="1"/>
  <c r="J233" i="1"/>
  <c r="W231" i="1"/>
  <c r="X231" i="1" s="1"/>
  <c r="W232" i="1"/>
  <c r="X232" i="1" s="1"/>
  <c r="W233" i="1"/>
  <c r="X233" i="1" s="1"/>
  <c r="Y227" i="1"/>
  <c r="Z227" i="1" s="1"/>
  <c r="Y228" i="1"/>
  <c r="Z228" i="1" s="1"/>
  <c r="Y229" i="1"/>
  <c r="Z229" i="1" s="1"/>
  <c r="Y230" i="1"/>
  <c r="Z230" i="1" s="1"/>
  <c r="Y231" i="1"/>
  <c r="Z231" i="1" s="1"/>
  <c r="Y232" i="1"/>
  <c r="Z232" i="1" s="1"/>
  <c r="Y233" i="1"/>
  <c r="Z233" i="1" s="1"/>
  <c r="AB229" i="1"/>
  <c r="AC229" i="1" s="1"/>
  <c r="T229" i="1" s="1"/>
  <c r="AB231" i="1"/>
  <c r="AB232" i="1"/>
  <c r="AB233" i="1"/>
  <c r="AC231" i="1"/>
  <c r="T231" i="1" s="1"/>
  <c r="AC232" i="1"/>
  <c r="T232" i="1" s="1"/>
  <c r="AC233" i="1"/>
  <c r="T233" i="1" s="1"/>
  <c r="AF227" i="1"/>
  <c r="AF228" i="1"/>
  <c r="AF229" i="1"/>
  <c r="AF230" i="1"/>
  <c r="AF231" i="1"/>
  <c r="AF232" i="1"/>
  <c r="AF233" i="1"/>
  <c r="I232" i="1" l="1"/>
  <c r="I230" i="1"/>
  <c r="AA229" i="1"/>
  <c r="AA233" i="1"/>
  <c r="AA231" i="1"/>
  <c r="AA227" i="1"/>
  <c r="I233" i="1"/>
  <c r="I231" i="1"/>
  <c r="I229" i="1"/>
  <c r="I227" i="1"/>
  <c r="AB227" i="1"/>
  <c r="AC227" i="1" s="1"/>
  <c r="T227" i="1" s="1"/>
  <c r="AA232" i="1"/>
  <c r="AA230" i="1"/>
  <c r="AB230" i="1" s="1"/>
  <c r="AC230" i="1" s="1"/>
  <c r="T230" i="1" s="1"/>
  <c r="AA228" i="1"/>
  <c r="AB228" i="1" s="1"/>
  <c r="AC228" i="1" s="1"/>
  <c r="T228" i="1" s="1"/>
  <c r="J168" i="1" l="1"/>
  <c r="J176" i="1"/>
  <c r="J189" i="1"/>
  <c r="J190" i="1"/>
  <c r="J193" i="1"/>
  <c r="J195" i="1"/>
  <c r="J196" i="1"/>
  <c r="J197" i="1"/>
  <c r="J199" i="1"/>
  <c r="J200" i="1"/>
  <c r="J202" i="1"/>
  <c r="J204" i="1"/>
  <c r="J225" i="1"/>
  <c r="J234" i="1"/>
  <c r="J235" i="1"/>
  <c r="J236" i="1"/>
  <c r="J241" i="1"/>
  <c r="J242" i="1"/>
  <c r="J243" i="1"/>
  <c r="J245" i="1"/>
  <c r="J246" i="1"/>
  <c r="J247" i="1"/>
  <c r="J248" i="1"/>
  <c r="J249" i="1"/>
  <c r="J250" i="1"/>
  <c r="J251" i="1"/>
  <c r="J252" i="1"/>
  <c r="J254" i="1"/>
  <c r="J255" i="1"/>
  <c r="J256" i="1"/>
  <c r="J257" i="1"/>
  <c r="J259" i="1"/>
  <c r="J260" i="1"/>
  <c r="J261" i="1"/>
  <c r="J262" i="1"/>
  <c r="J263" i="1"/>
  <c r="J264" i="1"/>
  <c r="J266" i="1"/>
  <c r="J268" i="1"/>
  <c r="J270" i="1"/>
  <c r="J272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2" i="1"/>
  <c r="J303" i="1"/>
  <c r="J305" i="1"/>
  <c r="J307" i="1"/>
  <c r="J308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C190" i="1" l="1"/>
  <c r="H190" i="1"/>
  <c r="I190" i="1" s="1"/>
  <c r="Y190" i="1"/>
  <c r="Z190" i="1" s="1"/>
  <c r="AF190" i="1"/>
  <c r="C189" i="1"/>
  <c r="H189" i="1"/>
  <c r="B189" i="1" s="1"/>
  <c r="G189" i="1" s="1"/>
  <c r="A189" i="1" s="1"/>
  <c r="AD189" i="1" s="1"/>
  <c r="W189" i="1"/>
  <c r="X189" i="1" s="1"/>
  <c r="Y189" i="1"/>
  <c r="Z189" i="1" s="1"/>
  <c r="AB189" i="1"/>
  <c r="AC189" i="1"/>
  <c r="T189" i="1" s="1"/>
  <c r="AF189" i="1"/>
  <c r="C111" i="1"/>
  <c r="H111" i="1"/>
  <c r="Y111" i="1"/>
  <c r="Z111" i="1" s="1"/>
  <c r="AF111" i="1"/>
  <c r="C168" i="1"/>
  <c r="H168" i="1"/>
  <c r="I168" i="1" s="1"/>
  <c r="Y168" i="1"/>
  <c r="Z168" i="1" s="1"/>
  <c r="AF168" i="1"/>
  <c r="C176" i="1"/>
  <c r="H176" i="1"/>
  <c r="Y176" i="1"/>
  <c r="Z176" i="1" s="1"/>
  <c r="AF176" i="1"/>
  <c r="AA111" i="1" l="1"/>
  <c r="AB111" i="1" s="1"/>
  <c r="AC111" i="1" s="1"/>
  <c r="T111" i="1" s="1"/>
  <c r="AA189" i="1"/>
  <c r="I189" i="1"/>
  <c r="AA190" i="1"/>
  <c r="AB190" i="1" s="1"/>
  <c r="AC190" i="1" s="1"/>
  <c r="T190" i="1" s="1"/>
  <c r="AA176" i="1"/>
  <c r="AB176" i="1" s="1"/>
  <c r="AC176" i="1" s="1"/>
  <c r="T176" i="1" s="1"/>
  <c r="AA168" i="1"/>
  <c r="AB168" i="1" s="1"/>
  <c r="AC168" i="1" s="1"/>
  <c r="T168" i="1" s="1"/>
  <c r="I176" i="1"/>
  <c r="I111" i="1"/>
  <c r="C365" i="1" l="1"/>
  <c r="H365" i="1"/>
  <c r="Y365" i="1"/>
  <c r="Z365" i="1" s="1"/>
  <c r="AF365" i="1"/>
  <c r="AA365" i="1" l="1"/>
  <c r="AB365" i="1" s="1"/>
  <c r="AC365" i="1" s="1"/>
  <c r="T365" i="1" s="1"/>
  <c r="I365" i="1"/>
  <c r="C327" i="1" l="1"/>
  <c r="C328" i="1"/>
  <c r="H327" i="1"/>
  <c r="B327" i="1" s="1"/>
  <c r="G327" i="1" s="1"/>
  <c r="A327" i="1" s="1"/>
  <c r="AD327" i="1" s="1"/>
  <c r="H328" i="1"/>
  <c r="I328" i="1" s="1"/>
  <c r="Y327" i="1"/>
  <c r="Z327" i="1" s="1"/>
  <c r="Y328" i="1"/>
  <c r="AF327" i="1"/>
  <c r="AF328" i="1"/>
  <c r="I327" i="1" l="1"/>
  <c r="Z328" i="1"/>
  <c r="AA328" i="1" s="1"/>
  <c r="AA327" i="1"/>
  <c r="AB327" i="1" s="1"/>
  <c r="AC327" i="1" s="1"/>
  <c r="T327" i="1" s="1"/>
  <c r="AB328" i="1" l="1"/>
  <c r="AC328" i="1" s="1"/>
  <c r="T328" i="1" s="1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E101" i="5" s="1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E100" i="5" s="1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E99" i="5" s="1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J95" i="5" s="1"/>
  <c r="I57" i="5"/>
  <c r="I95" i="5" s="1"/>
  <c r="H57" i="5"/>
  <c r="H95" i="5" s="1"/>
  <c r="E57" i="5"/>
  <c r="E95" i="5" s="1"/>
  <c r="D57" i="5"/>
  <c r="D95" i="5" s="1"/>
  <c r="C57" i="5"/>
  <c r="C95" i="5" s="1"/>
  <c r="B57" i="5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J55" i="5"/>
  <c r="J93" i="5" s="1"/>
  <c r="I55" i="5"/>
  <c r="I93" i="5" s="1"/>
  <c r="H55" i="5"/>
  <c r="H93" i="5" s="1"/>
  <c r="E55" i="5"/>
  <c r="E93" i="5" s="1"/>
  <c r="D55" i="5"/>
  <c r="D93" i="5" s="1"/>
  <c r="C55" i="5"/>
  <c r="C93" i="5" s="1"/>
  <c r="B55" i="5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J53" i="5"/>
  <c r="J91" i="5" s="1"/>
  <c r="I53" i="5"/>
  <c r="I91" i="5" s="1"/>
  <c r="H53" i="5"/>
  <c r="H91" i="5" s="1"/>
  <c r="E53" i="5"/>
  <c r="E91" i="5" s="1"/>
  <c r="D53" i="5"/>
  <c r="D91" i="5" s="1"/>
  <c r="C53" i="5"/>
  <c r="C91" i="5" s="1"/>
  <c r="B53" i="5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J51" i="5"/>
  <c r="J89" i="5" s="1"/>
  <c r="I51" i="5"/>
  <c r="I89" i="5" s="1"/>
  <c r="H51" i="5"/>
  <c r="H89" i="5" s="1"/>
  <c r="E51" i="5"/>
  <c r="E89" i="5" s="1"/>
  <c r="D51" i="5"/>
  <c r="D89" i="5" s="1"/>
  <c r="C51" i="5"/>
  <c r="C89" i="5" s="1"/>
  <c r="B51" i="5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J49" i="5"/>
  <c r="J87" i="5" s="1"/>
  <c r="I49" i="5"/>
  <c r="I87" i="5" s="1"/>
  <c r="H49" i="5"/>
  <c r="H87" i="5" s="1"/>
  <c r="E49" i="5"/>
  <c r="E87" i="5" s="1"/>
  <c r="D49" i="5"/>
  <c r="D87" i="5" s="1"/>
  <c r="C49" i="5"/>
  <c r="C87" i="5" s="1"/>
  <c r="B49" i="5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28" i="5" s="1"/>
  <c r="E34" i="3"/>
  <c r="E33" i="3"/>
  <c r="E28" i="3"/>
  <c r="E27" i="3"/>
  <c r="E26" i="3"/>
  <c r="E25" i="3"/>
  <c r="E24" i="3"/>
  <c r="E23" i="3"/>
  <c r="J159" i="1" s="1"/>
  <c r="E22" i="3"/>
  <c r="E21" i="3"/>
  <c r="E20" i="3"/>
  <c r="E19" i="3"/>
  <c r="E18" i="3"/>
  <c r="J109" i="1" s="1"/>
  <c r="E17" i="3"/>
  <c r="E16" i="3"/>
  <c r="J94" i="1" s="1"/>
  <c r="E15" i="3"/>
  <c r="E14" i="3"/>
  <c r="E13" i="3"/>
  <c r="E12" i="3"/>
  <c r="J25" i="1" s="1"/>
  <c r="E11" i="3"/>
  <c r="E10" i="3"/>
  <c r="E9" i="3"/>
  <c r="E8" i="3"/>
  <c r="J301" i="1" s="1"/>
  <c r="E7" i="3"/>
  <c r="J118" i="1" s="1"/>
  <c r="E6" i="3"/>
  <c r="E5" i="3"/>
  <c r="E4" i="3"/>
  <c r="J133" i="1" s="1"/>
  <c r="E3" i="3"/>
  <c r="J69" i="6"/>
  <c r="J107" i="6" s="1"/>
  <c r="D41" i="6"/>
  <c r="D79" i="6" s="1"/>
  <c r="C1" i="6"/>
  <c r="J69" i="2"/>
  <c r="J107" i="2" s="1"/>
  <c r="D41" i="2"/>
  <c r="D79" i="2" s="1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587" i="1"/>
  <c r="AC587" i="1"/>
  <c r="T587" i="1" s="1"/>
  <c r="AB587" i="1"/>
  <c r="Y587" i="1"/>
  <c r="W587" i="1"/>
  <c r="X587" i="1" s="1"/>
  <c r="H587" i="1"/>
  <c r="I587" i="1" s="1"/>
  <c r="C587" i="1"/>
  <c r="B587" i="1"/>
  <c r="G587" i="1" s="1"/>
  <c r="A587" i="1" s="1"/>
  <c r="AD587" i="1" s="1"/>
  <c r="AF586" i="1"/>
  <c r="AC586" i="1"/>
  <c r="T586" i="1" s="1"/>
  <c r="AB586" i="1"/>
  <c r="Y586" i="1"/>
  <c r="Z586" i="1" s="1"/>
  <c r="W586" i="1"/>
  <c r="X586" i="1" s="1"/>
  <c r="H586" i="1"/>
  <c r="I586" i="1" s="1"/>
  <c r="C586" i="1"/>
  <c r="B586" i="1"/>
  <c r="G586" i="1" s="1"/>
  <c r="A586" i="1" s="1"/>
  <c r="AD586" i="1" s="1"/>
  <c r="AF585" i="1"/>
  <c r="AC585" i="1"/>
  <c r="T585" i="1" s="1"/>
  <c r="AB585" i="1"/>
  <c r="Y585" i="1"/>
  <c r="Z585" i="1" s="1"/>
  <c r="W585" i="1"/>
  <c r="X585" i="1" s="1"/>
  <c r="H585" i="1"/>
  <c r="I585" i="1" s="1"/>
  <c r="C585" i="1"/>
  <c r="B585" i="1"/>
  <c r="G585" i="1" s="1"/>
  <c r="A585" i="1" s="1"/>
  <c r="AD585" i="1" s="1"/>
  <c r="AF584" i="1"/>
  <c r="AC584" i="1"/>
  <c r="T584" i="1" s="1"/>
  <c r="AB584" i="1"/>
  <c r="Y584" i="1"/>
  <c r="Z584" i="1" s="1"/>
  <c r="W584" i="1"/>
  <c r="X584" i="1" s="1"/>
  <c r="H584" i="1"/>
  <c r="I584" i="1" s="1"/>
  <c r="C584" i="1"/>
  <c r="B584" i="1"/>
  <c r="G584" i="1" s="1"/>
  <c r="A584" i="1" s="1"/>
  <c r="AD584" i="1" s="1"/>
  <c r="AF583" i="1"/>
  <c r="AC583" i="1"/>
  <c r="T583" i="1" s="1"/>
  <c r="AB583" i="1"/>
  <c r="Y583" i="1"/>
  <c r="W583" i="1"/>
  <c r="X583" i="1" s="1"/>
  <c r="H583" i="1"/>
  <c r="I583" i="1" s="1"/>
  <c r="C583" i="1"/>
  <c r="B583" i="1"/>
  <c r="G583" i="1" s="1"/>
  <c r="A583" i="1" s="1"/>
  <c r="AD583" i="1" s="1"/>
  <c r="AF582" i="1"/>
  <c r="AC582" i="1"/>
  <c r="T582" i="1" s="1"/>
  <c r="AB582" i="1"/>
  <c r="Y582" i="1"/>
  <c r="Z582" i="1" s="1"/>
  <c r="W582" i="1"/>
  <c r="X582" i="1" s="1"/>
  <c r="H582" i="1"/>
  <c r="I582" i="1" s="1"/>
  <c r="C582" i="1"/>
  <c r="B582" i="1"/>
  <c r="G582" i="1" s="1"/>
  <c r="A582" i="1" s="1"/>
  <c r="AD582" i="1" s="1"/>
  <c r="AF581" i="1"/>
  <c r="AC581" i="1"/>
  <c r="T581" i="1" s="1"/>
  <c r="AB581" i="1"/>
  <c r="Y581" i="1"/>
  <c r="Z581" i="1" s="1"/>
  <c r="W581" i="1"/>
  <c r="X581" i="1" s="1"/>
  <c r="H581" i="1"/>
  <c r="I581" i="1" s="1"/>
  <c r="C581" i="1"/>
  <c r="B581" i="1"/>
  <c r="G581" i="1" s="1"/>
  <c r="A581" i="1" s="1"/>
  <c r="AD581" i="1" s="1"/>
  <c r="AF580" i="1"/>
  <c r="AC580" i="1"/>
  <c r="T580" i="1" s="1"/>
  <c r="AB580" i="1"/>
  <c r="Y580" i="1"/>
  <c r="Z580" i="1" s="1"/>
  <c r="W580" i="1"/>
  <c r="X580" i="1" s="1"/>
  <c r="H580" i="1"/>
  <c r="I580" i="1" s="1"/>
  <c r="C580" i="1"/>
  <c r="B580" i="1"/>
  <c r="G580" i="1" s="1"/>
  <c r="A580" i="1" s="1"/>
  <c r="AD580" i="1" s="1"/>
  <c r="AF579" i="1"/>
  <c r="AC579" i="1"/>
  <c r="T579" i="1" s="1"/>
  <c r="AB579" i="1"/>
  <c r="Y579" i="1"/>
  <c r="W579" i="1"/>
  <c r="X579" i="1" s="1"/>
  <c r="H579" i="1"/>
  <c r="I579" i="1" s="1"/>
  <c r="C579" i="1"/>
  <c r="B579" i="1"/>
  <c r="G579" i="1" s="1"/>
  <c r="A579" i="1" s="1"/>
  <c r="AD579" i="1" s="1"/>
  <c r="AF578" i="1"/>
  <c r="AC578" i="1"/>
  <c r="T578" i="1" s="1"/>
  <c r="AB578" i="1"/>
  <c r="Y578" i="1"/>
  <c r="Z578" i="1" s="1"/>
  <c r="W578" i="1"/>
  <c r="X578" i="1" s="1"/>
  <c r="H578" i="1"/>
  <c r="I578" i="1" s="1"/>
  <c r="C578" i="1"/>
  <c r="B578" i="1"/>
  <c r="G578" i="1" s="1"/>
  <c r="A578" i="1" s="1"/>
  <c r="AD578" i="1" s="1"/>
  <c r="AF577" i="1"/>
  <c r="AC577" i="1"/>
  <c r="T577" i="1" s="1"/>
  <c r="AB577" i="1"/>
  <c r="Y577" i="1"/>
  <c r="Z577" i="1" s="1"/>
  <c r="W577" i="1"/>
  <c r="X577" i="1" s="1"/>
  <c r="H577" i="1"/>
  <c r="I577" i="1" s="1"/>
  <c r="C577" i="1"/>
  <c r="B577" i="1"/>
  <c r="G577" i="1" s="1"/>
  <c r="A577" i="1" s="1"/>
  <c r="AD577" i="1" s="1"/>
  <c r="AF576" i="1"/>
  <c r="AC576" i="1"/>
  <c r="T576" i="1" s="1"/>
  <c r="AB576" i="1"/>
  <c r="Y576" i="1"/>
  <c r="Z576" i="1" s="1"/>
  <c r="W576" i="1"/>
  <c r="X576" i="1" s="1"/>
  <c r="H576" i="1"/>
  <c r="I576" i="1" s="1"/>
  <c r="C576" i="1"/>
  <c r="B576" i="1"/>
  <c r="G576" i="1" s="1"/>
  <c r="A576" i="1" s="1"/>
  <c r="AD576" i="1" s="1"/>
  <c r="AF575" i="1"/>
  <c r="AC575" i="1"/>
  <c r="T575" i="1" s="1"/>
  <c r="AB575" i="1"/>
  <c r="Y575" i="1"/>
  <c r="W575" i="1"/>
  <c r="X575" i="1" s="1"/>
  <c r="H575" i="1"/>
  <c r="I575" i="1" s="1"/>
  <c r="C575" i="1"/>
  <c r="B575" i="1"/>
  <c r="G575" i="1" s="1"/>
  <c r="A575" i="1" s="1"/>
  <c r="AD575" i="1" s="1"/>
  <c r="AF574" i="1"/>
  <c r="AC574" i="1"/>
  <c r="T574" i="1" s="1"/>
  <c r="AB574" i="1"/>
  <c r="Y574" i="1"/>
  <c r="Z574" i="1" s="1"/>
  <c r="W574" i="1"/>
  <c r="X574" i="1" s="1"/>
  <c r="H574" i="1"/>
  <c r="I574" i="1" s="1"/>
  <c r="C574" i="1"/>
  <c r="B574" i="1"/>
  <c r="G574" i="1" s="1"/>
  <c r="A574" i="1" s="1"/>
  <c r="AD574" i="1" s="1"/>
  <c r="AF573" i="1"/>
  <c r="AC573" i="1"/>
  <c r="T573" i="1" s="1"/>
  <c r="AB573" i="1"/>
  <c r="Y573" i="1"/>
  <c r="Z573" i="1" s="1"/>
  <c r="W573" i="1"/>
  <c r="X573" i="1" s="1"/>
  <c r="H573" i="1"/>
  <c r="I573" i="1" s="1"/>
  <c r="C573" i="1"/>
  <c r="B573" i="1"/>
  <c r="G573" i="1" s="1"/>
  <c r="A573" i="1" s="1"/>
  <c r="AD573" i="1" s="1"/>
  <c r="AF572" i="1"/>
  <c r="AC572" i="1"/>
  <c r="T572" i="1" s="1"/>
  <c r="AB572" i="1"/>
  <c r="Y572" i="1"/>
  <c r="Z572" i="1" s="1"/>
  <c r="W572" i="1"/>
  <c r="X572" i="1" s="1"/>
  <c r="H572" i="1"/>
  <c r="I572" i="1" s="1"/>
  <c r="C572" i="1"/>
  <c r="B572" i="1"/>
  <c r="G572" i="1" s="1"/>
  <c r="A572" i="1" s="1"/>
  <c r="AD572" i="1" s="1"/>
  <c r="AF571" i="1"/>
  <c r="AC571" i="1"/>
  <c r="T571" i="1" s="1"/>
  <c r="AB571" i="1"/>
  <c r="Y571" i="1"/>
  <c r="W571" i="1"/>
  <c r="X571" i="1" s="1"/>
  <c r="H571" i="1"/>
  <c r="I571" i="1" s="1"/>
  <c r="C571" i="1"/>
  <c r="B571" i="1"/>
  <c r="G571" i="1" s="1"/>
  <c r="A571" i="1" s="1"/>
  <c r="AD571" i="1" s="1"/>
  <c r="AF570" i="1"/>
  <c r="AC570" i="1"/>
  <c r="T570" i="1" s="1"/>
  <c r="AB570" i="1"/>
  <c r="Y570" i="1"/>
  <c r="Z570" i="1" s="1"/>
  <c r="W570" i="1"/>
  <c r="X570" i="1" s="1"/>
  <c r="H570" i="1"/>
  <c r="I570" i="1" s="1"/>
  <c r="C570" i="1"/>
  <c r="B570" i="1"/>
  <c r="G570" i="1" s="1"/>
  <c r="A570" i="1" s="1"/>
  <c r="AD570" i="1" s="1"/>
  <c r="AF569" i="1"/>
  <c r="AC569" i="1"/>
  <c r="T569" i="1" s="1"/>
  <c r="AB569" i="1"/>
  <c r="Y569" i="1"/>
  <c r="Z569" i="1" s="1"/>
  <c r="W569" i="1"/>
  <c r="X569" i="1" s="1"/>
  <c r="H569" i="1"/>
  <c r="I569" i="1" s="1"/>
  <c r="C569" i="1"/>
  <c r="B569" i="1"/>
  <c r="G569" i="1" s="1"/>
  <c r="A569" i="1" s="1"/>
  <c r="AD569" i="1" s="1"/>
  <c r="AF568" i="1"/>
  <c r="AC568" i="1"/>
  <c r="T568" i="1" s="1"/>
  <c r="AB568" i="1"/>
  <c r="Y568" i="1"/>
  <c r="Z568" i="1" s="1"/>
  <c r="W568" i="1"/>
  <c r="X568" i="1" s="1"/>
  <c r="H568" i="1"/>
  <c r="I568" i="1" s="1"/>
  <c r="C568" i="1"/>
  <c r="B568" i="1"/>
  <c r="G568" i="1" s="1"/>
  <c r="A568" i="1" s="1"/>
  <c r="AD568" i="1" s="1"/>
  <c r="AF567" i="1"/>
  <c r="AC567" i="1"/>
  <c r="T567" i="1" s="1"/>
  <c r="AB567" i="1"/>
  <c r="Y567" i="1"/>
  <c r="W567" i="1"/>
  <c r="X567" i="1" s="1"/>
  <c r="H567" i="1"/>
  <c r="I567" i="1" s="1"/>
  <c r="C567" i="1"/>
  <c r="B567" i="1"/>
  <c r="G567" i="1" s="1"/>
  <c r="A567" i="1" s="1"/>
  <c r="AD567" i="1" s="1"/>
  <c r="AF566" i="1"/>
  <c r="AC566" i="1"/>
  <c r="T566" i="1" s="1"/>
  <c r="AB566" i="1"/>
  <c r="Y566" i="1"/>
  <c r="Z566" i="1" s="1"/>
  <c r="W566" i="1"/>
  <c r="X566" i="1" s="1"/>
  <c r="H566" i="1"/>
  <c r="I566" i="1" s="1"/>
  <c r="C566" i="1"/>
  <c r="B566" i="1"/>
  <c r="G566" i="1" s="1"/>
  <c r="A566" i="1" s="1"/>
  <c r="AD566" i="1" s="1"/>
  <c r="AF565" i="1"/>
  <c r="AC565" i="1"/>
  <c r="T565" i="1" s="1"/>
  <c r="AB565" i="1"/>
  <c r="Y565" i="1"/>
  <c r="Z565" i="1" s="1"/>
  <c r="W565" i="1"/>
  <c r="X565" i="1" s="1"/>
  <c r="H565" i="1"/>
  <c r="I565" i="1" s="1"/>
  <c r="C565" i="1"/>
  <c r="B565" i="1"/>
  <c r="G565" i="1" s="1"/>
  <c r="A565" i="1" s="1"/>
  <c r="AD565" i="1" s="1"/>
  <c r="AF564" i="1"/>
  <c r="AC564" i="1"/>
  <c r="T564" i="1" s="1"/>
  <c r="AB564" i="1"/>
  <c r="Y564" i="1"/>
  <c r="Z564" i="1" s="1"/>
  <c r="W564" i="1"/>
  <c r="X564" i="1" s="1"/>
  <c r="H564" i="1"/>
  <c r="I564" i="1" s="1"/>
  <c r="C564" i="1"/>
  <c r="B564" i="1"/>
  <c r="G564" i="1" s="1"/>
  <c r="A564" i="1" s="1"/>
  <c r="AD564" i="1" s="1"/>
  <c r="AF563" i="1"/>
  <c r="AC563" i="1"/>
  <c r="T563" i="1" s="1"/>
  <c r="AB563" i="1"/>
  <c r="Y563" i="1"/>
  <c r="W563" i="1"/>
  <c r="X563" i="1" s="1"/>
  <c r="H563" i="1"/>
  <c r="I563" i="1" s="1"/>
  <c r="C563" i="1"/>
  <c r="B563" i="1"/>
  <c r="G563" i="1" s="1"/>
  <c r="A563" i="1" s="1"/>
  <c r="AD563" i="1" s="1"/>
  <c r="AF562" i="1"/>
  <c r="AC562" i="1"/>
  <c r="T562" i="1" s="1"/>
  <c r="AB562" i="1"/>
  <c r="Y562" i="1"/>
  <c r="Z562" i="1" s="1"/>
  <c r="W562" i="1"/>
  <c r="X562" i="1" s="1"/>
  <c r="H562" i="1"/>
  <c r="I562" i="1" s="1"/>
  <c r="C562" i="1"/>
  <c r="B562" i="1"/>
  <c r="G562" i="1" s="1"/>
  <c r="A562" i="1" s="1"/>
  <c r="AD562" i="1" s="1"/>
  <c r="AF561" i="1"/>
  <c r="AC561" i="1"/>
  <c r="T561" i="1" s="1"/>
  <c r="AB561" i="1"/>
  <c r="Y561" i="1"/>
  <c r="Z561" i="1" s="1"/>
  <c r="W561" i="1"/>
  <c r="X561" i="1" s="1"/>
  <c r="H561" i="1"/>
  <c r="I561" i="1" s="1"/>
  <c r="C561" i="1"/>
  <c r="B561" i="1"/>
  <c r="G561" i="1" s="1"/>
  <c r="A561" i="1" s="1"/>
  <c r="AD561" i="1" s="1"/>
  <c r="AF560" i="1"/>
  <c r="AC560" i="1"/>
  <c r="T560" i="1" s="1"/>
  <c r="AB560" i="1"/>
  <c r="Y560" i="1"/>
  <c r="Z560" i="1" s="1"/>
  <c r="W560" i="1"/>
  <c r="X560" i="1" s="1"/>
  <c r="H560" i="1"/>
  <c r="I560" i="1" s="1"/>
  <c r="C560" i="1"/>
  <c r="B560" i="1"/>
  <c r="G560" i="1" s="1"/>
  <c r="A560" i="1" s="1"/>
  <c r="AD560" i="1" s="1"/>
  <c r="AF559" i="1"/>
  <c r="AC559" i="1"/>
  <c r="T559" i="1" s="1"/>
  <c r="AB559" i="1"/>
  <c r="Y559" i="1"/>
  <c r="W559" i="1"/>
  <c r="X559" i="1" s="1"/>
  <c r="H559" i="1"/>
  <c r="I559" i="1" s="1"/>
  <c r="C559" i="1"/>
  <c r="B559" i="1"/>
  <c r="G559" i="1" s="1"/>
  <c r="A559" i="1" s="1"/>
  <c r="AD559" i="1" s="1"/>
  <c r="AF558" i="1"/>
  <c r="AC558" i="1"/>
  <c r="T558" i="1" s="1"/>
  <c r="AB558" i="1"/>
  <c r="Y558" i="1"/>
  <c r="Z558" i="1" s="1"/>
  <c r="W558" i="1"/>
  <c r="X558" i="1" s="1"/>
  <c r="H558" i="1"/>
  <c r="I558" i="1" s="1"/>
  <c r="C558" i="1"/>
  <c r="B558" i="1"/>
  <c r="G558" i="1" s="1"/>
  <c r="A558" i="1" s="1"/>
  <c r="AD558" i="1" s="1"/>
  <c r="AF557" i="1"/>
  <c r="AC557" i="1"/>
  <c r="T557" i="1" s="1"/>
  <c r="AB557" i="1"/>
  <c r="Y557" i="1"/>
  <c r="Z557" i="1" s="1"/>
  <c r="W557" i="1"/>
  <c r="X557" i="1" s="1"/>
  <c r="H557" i="1"/>
  <c r="I557" i="1" s="1"/>
  <c r="C557" i="1"/>
  <c r="B557" i="1"/>
  <c r="G557" i="1" s="1"/>
  <c r="A557" i="1" s="1"/>
  <c r="AD557" i="1" s="1"/>
  <c r="AF556" i="1"/>
  <c r="AC556" i="1"/>
  <c r="T556" i="1" s="1"/>
  <c r="AB556" i="1"/>
  <c r="Y556" i="1"/>
  <c r="W556" i="1"/>
  <c r="X556" i="1" s="1"/>
  <c r="H556" i="1"/>
  <c r="I556" i="1" s="1"/>
  <c r="C556" i="1"/>
  <c r="B556" i="1"/>
  <c r="G556" i="1" s="1"/>
  <c r="A556" i="1" s="1"/>
  <c r="AD556" i="1" s="1"/>
  <c r="AF555" i="1"/>
  <c r="AC555" i="1"/>
  <c r="T555" i="1" s="1"/>
  <c r="AB555" i="1"/>
  <c r="Y555" i="1"/>
  <c r="W555" i="1"/>
  <c r="X555" i="1" s="1"/>
  <c r="H555" i="1"/>
  <c r="I555" i="1" s="1"/>
  <c r="C555" i="1"/>
  <c r="B555" i="1"/>
  <c r="G555" i="1" s="1"/>
  <c r="A555" i="1" s="1"/>
  <c r="AD555" i="1" s="1"/>
  <c r="AF554" i="1"/>
  <c r="AC554" i="1"/>
  <c r="T554" i="1" s="1"/>
  <c r="AB554" i="1"/>
  <c r="Y554" i="1"/>
  <c r="W554" i="1"/>
  <c r="X554" i="1" s="1"/>
  <c r="H554" i="1"/>
  <c r="I554" i="1" s="1"/>
  <c r="C554" i="1"/>
  <c r="B554" i="1"/>
  <c r="G554" i="1" s="1"/>
  <c r="A554" i="1" s="1"/>
  <c r="AD554" i="1" s="1"/>
  <c r="AF553" i="1"/>
  <c r="AC553" i="1"/>
  <c r="T553" i="1" s="1"/>
  <c r="AB553" i="1"/>
  <c r="Y553" i="1"/>
  <c r="Z553" i="1" s="1"/>
  <c r="W553" i="1"/>
  <c r="X553" i="1" s="1"/>
  <c r="H553" i="1"/>
  <c r="I553" i="1" s="1"/>
  <c r="C553" i="1"/>
  <c r="B553" i="1"/>
  <c r="G553" i="1" s="1"/>
  <c r="A553" i="1" s="1"/>
  <c r="AD553" i="1" s="1"/>
  <c r="AF552" i="1"/>
  <c r="AC552" i="1"/>
  <c r="T552" i="1" s="1"/>
  <c r="AB552" i="1"/>
  <c r="Y552" i="1"/>
  <c r="W552" i="1"/>
  <c r="X552" i="1" s="1"/>
  <c r="H552" i="1"/>
  <c r="I552" i="1" s="1"/>
  <c r="C552" i="1"/>
  <c r="B552" i="1"/>
  <c r="G552" i="1" s="1"/>
  <c r="A552" i="1" s="1"/>
  <c r="AD552" i="1" s="1"/>
  <c r="AF551" i="1"/>
  <c r="AC551" i="1"/>
  <c r="T551" i="1" s="1"/>
  <c r="AB551" i="1"/>
  <c r="Y551" i="1"/>
  <c r="W551" i="1"/>
  <c r="X551" i="1" s="1"/>
  <c r="H551" i="1"/>
  <c r="I551" i="1" s="1"/>
  <c r="C551" i="1"/>
  <c r="B551" i="1"/>
  <c r="G551" i="1" s="1"/>
  <c r="A551" i="1" s="1"/>
  <c r="AD551" i="1" s="1"/>
  <c r="AF550" i="1"/>
  <c r="AC550" i="1"/>
  <c r="T550" i="1" s="1"/>
  <c r="AB550" i="1"/>
  <c r="Y550" i="1"/>
  <c r="W550" i="1"/>
  <c r="X550" i="1" s="1"/>
  <c r="H550" i="1"/>
  <c r="I550" i="1" s="1"/>
  <c r="C550" i="1"/>
  <c r="B550" i="1"/>
  <c r="G550" i="1" s="1"/>
  <c r="A550" i="1" s="1"/>
  <c r="AD550" i="1" s="1"/>
  <c r="AF549" i="1"/>
  <c r="AC549" i="1"/>
  <c r="T549" i="1" s="1"/>
  <c r="AB549" i="1"/>
  <c r="Y549" i="1"/>
  <c r="Z549" i="1" s="1"/>
  <c r="W549" i="1"/>
  <c r="X549" i="1" s="1"/>
  <c r="H549" i="1"/>
  <c r="I549" i="1" s="1"/>
  <c r="C549" i="1"/>
  <c r="B549" i="1"/>
  <c r="G549" i="1" s="1"/>
  <c r="A549" i="1" s="1"/>
  <c r="AD549" i="1" s="1"/>
  <c r="AF548" i="1"/>
  <c r="AC548" i="1"/>
  <c r="T548" i="1" s="1"/>
  <c r="AB548" i="1"/>
  <c r="Y548" i="1"/>
  <c r="W548" i="1"/>
  <c r="X548" i="1" s="1"/>
  <c r="H548" i="1"/>
  <c r="I548" i="1" s="1"/>
  <c r="C548" i="1"/>
  <c r="B548" i="1"/>
  <c r="G548" i="1" s="1"/>
  <c r="A548" i="1" s="1"/>
  <c r="AD548" i="1" s="1"/>
  <c r="AF547" i="1"/>
  <c r="AC547" i="1"/>
  <c r="T547" i="1" s="1"/>
  <c r="AB547" i="1"/>
  <c r="Y547" i="1"/>
  <c r="W547" i="1"/>
  <c r="X547" i="1" s="1"/>
  <c r="H547" i="1"/>
  <c r="I547" i="1" s="1"/>
  <c r="C547" i="1"/>
  <c r="B547" i="1"/>
  <c r="G547" i="1" s="1"/>
  <c r="A547" i="1" s="1"/>
  <c r="AD547" i="1" s="1"/>
  <c r="AF546" i="1"/>
  <c r="AC546" i="1"/>
  <c r="T546" i="1" s="1"/>
  <c r="AB546" i="1"/>
  <c r="Y546" i="1"/>
  <c r="W546" i="1"/>
  <c r="X546" i="1" s="1"/>
  <c r="H546" i="1"/>
  <c r="I546" i="1" s="1"/>
  <c r="C546" i="1"/>
  <c r="B546" i="1"/>
  <c r="G546" i="1" s="1"/>
  <c r="A546" i="1" s="1"/>
  <c r="AD546" i="1" s="1"/>
  <c r="AF545" i="1"/>
  <c r="AC545" i="1"/>
  <c r="T545" i="1" s="1"/>
  <c r="AB545" i="1"/>
  <c r="Y545" i="1"/>
  <c r="W545" i="1"/>
  <c r="X545" i="1" s="1"/>
  <c r="H545" i="1"/>
  <c r="I545" i="1" s="1"/>
  <c r="C545" i="1"/>
  <c r="B545" i="1"/>
  <c r="G545" i="1" s="1"/>
  <c r="A545" i="1" s="1"/>
  <c r="AD545" i="1" s="1"/>
  <c r="AF544" i="1"/>
  <c r="AC544" i="1"/>
  <c r="T544" i="1" s="1"/>
  <c r="AB544" i="1"/>
  <c r="Y544" i="1"/>
  <c r="AA544" i="1" s="1"/>
  <c r="W544" i="1"/>
  <c r="X544" i="1" s="1"/>
  <c r="H544" i="1"/>
  <c r="I544" i="1" s="1"/>
  <c r="C544" i="1"/>
  <c r="B544" i="1"/>
  <c r="G544" i="1" s="1"/>
  <c r="A544" i="1" s="1"/>
  <c r="AD544" i="1" s="1"/>
  <c r="AF543" i="1"/>
  <c r="AC543" i="1"/>
  <c r="T543" i="1" s="1"/>
  <c r="AB543" i="1"/>
  <c r="Y543" i="1"/>
  <c r="W543" i="1"/>
  <c r="X543" i="1" s="1"/>
  <c r="H543" i="1"/>
  <c r="I543" i="1" s="1"/>
  <c r="C543" i="1"/>
  <c r="AF542" i="1"/>
  <c r="AC542" i="1"/>
  <c r="T542" i="1" s="1"/>
  <c r="AB542" i="1"/>
  <c r="Y542" i="1"/>
  <c r="W542" i="1"/>
  <c r="X542" i="1" s="1"/>
  <c r="H542" i="1"/>
  <c r="I542" i="1" s="1"/>
  <c r="C542" i="1"/>
  <c r="B542" i="1"/>
  <c r="G542" i="1" s="1"/>
  <c r="A542" i="1" s="1"/>
  <c r="AD542" i="1" s="1"/>
  <c r="AF541" i="1"/>
  <c r="AC541" i="1"/>
  <c r="T541" i="1" s="1"/>
  <c r="AB541" i="1"/>
  <c r="Y541" i="1"/>
  <c r="W541" i="1"/>
  <c r="X541" i="1" s="1"/>
  <c r="H541" i="1"/>
  <c r="I541" i="1" s="1"/>
  <c r="C541" i="1"/>
  <c r="AF540" i="1"/>
  <c r="AC540" i="1"/>
  <c r="T540" i="1" s="1"/>
  <c r="AB540" i="1"/>
  <c r="Y540" i="1"/>
  <c r="AA540" i="1" s="1"/>
  <c r="W540" i="1"/>
  <c r="X540" i="1" s="1"/>
  <c r="H540" i="1"/>
  <c r="I540" i="1" s="1"/>
  <c r="C540" i="1"/>
  <c r="B540" i="1"/>
  <c r="G540" i="1" s="1"/>
  <c r="A540" i="1" s="1"/>
  <c r="AD540" i="1" s="1"/>
  <c r="AF539" i="1"/>
  <c r="AC539" i="1"/>
  <c r="T539" i="1" s="1"/>
  <c r="AB539" i="1"/>
  <c r="Y539" i="1"/>
  <c r="W539" i="1"/>
  <c r="X539" i="1" s="1"/>
  <c r="H539" i="1"/>
  <c r="I539" i="1" s="1"/>
  <c r="C539" i="1"/>
  <c r="B539" i="1"/>
  <c r="G539" i="1" s="1"/>
  <c r="A539" i="1" s="1"/>
  <c r="AD539" i="1" s="1"/>
  <c r="AF538" i="1"/>
  <c r="AC538" i="1"/>
  <c r="T538" i="1" s="1"/>
  <c r="AB538" i="1"/>
  <c r="Y538" i="1"/>
  <c r="W538" i="1"/>
  <c r="X538" i="1" s="1"/>
  <c r="H538" i="1"/>
  <c r="I538" i="1" s="1"/>
  <c r="C538" i="1"/>
  <c r="B538" i="1"/>
  <c r="G538" i="1" s="1"/>
  <c r="A538" i="1" s="1"/>
  <c r="AD538" i="1" s="1"/>
  <c r="AF537" i="1"/>
  <c r="AC537" i="1"/>
  <c r="T537" i="1" s="1"/>
  <c r="AB537" i="1"/>
  <c r="Y537" i="1"/>
  <c r="W537" i="1"/>
  <c r="X537" i="1" s="1"/>
  <c r="H537" i="1"/>
  <c r="I537" i="1" s="1"/>
  <c r="C537" i="1"/>
  <c r="AF536" i="1"/>
  <c r="AC536" i="1"/>
  <c r="T536" i="1" s="1"/>
  <c r="AB536" i="1"/>
  <c r="Y536" i="1"/>
  <c r="AA536" i="1" s="1"/>
  <c r="W536" i="1"/>
  <c r="X536" i="1" s="1"/>
  <c r="H536" i="1"/>
  <c r="I536" i="1" s="1"/>
  <c r="C536" i="1"/>
  <c r="B536" i="1"/>
  <c r="G536" i="1" s="1"/>
  <c r="A536" i="1" s="1"/>
  <c r="AD536" i="1" s="1"/>
  <c r="AF535" i="1"/>
  <c r="AC535" i="1"/>
  <c r="T535" i="1" s="1"/>
  <c r="AB535" i="1"/>
  <c r="Y535" i="1"/>
  <c r="W535" i="1"/>
  <c r="X535" i="1" s="1"/>
  <c r="H535" i="1"/>
  <c r="I535" i="1" s="1"/>
  <c r="C535" i="1"/>
  <c r="AF534" i="1"/>
  <c r="AC534" i="1"/>
  <c r="T534" i="1" s="1"/>
  <c r="AB534" i="1"/>
  <c r="Y534" i="1"/>
  <c r="W534" i="1"/>
  <c r="X534" i="1" s="1"/>
  <c r="H534" i="1"/>
  <c r="I534" i="1" s="1"/>
  <c r="C534" i="1"/>
  <c r="AF533" i="1"/>
  <c r="AC533" i="1"/>
  <c r="T533" i="1" s="1"/>
  <c r="AB533" i="1"/>
  <c r="Y533" i="1"/>
  <c r="W533" i="1"/>
  <c r="X533" i="1" s="1"/>
  <c r="H533" i="1"/>
  <c r="I533" i="1" s="1"/>
  <c r="C533" i="1"/>
  <c r="B533" i="1"/>
  <c r="G533" i="1" s="1"/>
  <c r="A533" i="1" s="1"/>
  <c r="AD533" i="1" s="1"/>
  <c r="AF532" i="1"/>
  <c r="AC532" i="1"/>
  <c r="T532" i="1" s="1"/>
  <c r="AB532" i="1"/>
  <c r="Y532" i="1"/>
  <c r="AA532" i="1" s="1"/>
  <c r="W532" i="1"/>
  <c r="X532" i="1" s="1"/>
  <c r="H532" i="1"/>
  <c r="I532" i="1" s="1"/>
  <c r="C532" i="1"/>
  <c r="B532" i="1"/>
  <c r="G532" i="1" s="1"/>
  <c r="A532" i="1" s="1"/>
  <c r="AD532" i="1" s="1"/>
  <c r="AF531" i="1"/>
  <c r="AC531" i="1"/>
  <c r="T531" i="1" s="1"/>
  <c r="AB531" i="1"/>
  <c r="Y531" i="1"/>
  <c r="W531" i="1"/>
  <c r="X531" i="1" s="1"/>
  <c r="H531" i="1"/>
  <c r="I531" i="1" s="1"/>
  <c r="C531" i="1"/>
  <c r="B531" i="1"/>
  <c r="G531" i="1" s="1"/>
  <c r="A531" i="1" s="1"/>
  <c r="AD531" i="1" s="1"/>
  <c r="AF530" i="1"/>
  <c r="AC530" i="1"/>
  <c r="T530" i="1" s="1"/>
  <c r="AB530" i="1"/>
  <c r="Y530" i="1"/>
  <c r="W530" i="1"/>
  <c r="X530" i="1" s="1"/>
  <c r="H530" i="1"/>
  <c r="I530" i="1" s="1"/>
  <c r="C530" i="1"/>
  <c r="B530" i="1"/>
  <c r="G530" i="1" s="1"/>
  <c r="A530" i="1" s="1"/>
  <c r="AD530" i="1" s="1"/>
  <c r="AF529" i="1"/>
  <c r="AC529" i="1"/>
  <c r="T529" i="1" s="1"/>
  <c r="AB529" i="1"/>
  <c r="Y529" i="1"/>
  <c r="W529" i="1"/>
  <c r="X529" i="1" s="1"/>
  <c r="H529" i="1"/>
  <c r="I529" i="1" s="1"/>
  <c r="C529" i="1"/>
  <c r="AF528" i="1"/>
  <c r="AC528" i="1"/>
  <c r="T528" i="1" s="1"/>
  <c r="AB528" i="1"/>
  <c r="Y528" i="1"/>
  <c r="AA528" i="1" s="1"/>
  <c r="W528" i="1"/>
  <c r="X528" i="1" s="1"/>
  <c r="H528" i="1"/>
  <c r="I528" i="1" s="1"/>
  <c r="C528" i="1"/>
  <c r="B528" i="1"/>
  <c r="G528" i="1" s="1"/>
  <c r="A528" i="1" s="1"/>
  <c r="AD528" i="1" s="1"/>
  <c r="AF527" i="1"/>
  <c r="AC527" i="1"/>
  <c r="T527" i="1" s="1"/>
  <c r="AB527" i="1"/>
  <c r="Y527" i="1"/>
  <c r="W527" i="1"/>
  <c r="X527" i="1" s="1"/>
  <c r="H527" i="1"/>
  <c r="I527" i="1" s="1"/>
  <c r="C527" i="1"/>
  <c r="B527" i="1"/>
  <c r="G527" i="1" s="1"/>
  <c r="A527" i="1" s="1"/>
  <c r="AD527" i="1" s="1"/>
  <c r="AF526" i="1"/>
  <c r="AC526" i="1"/>
  <c r="T526" i="1" s="1"/>
  <c r="AB526" i="1"/>
  <c r="Y526" i="1"/>
  <c r="W526" i="1"/>
  <c r="X526" i="1" s="1"/>
  <c r="H526" i="1"/>
  <c r="I526" i="1" s="1"/>
  <c r="C526" i="1"/>
  <c r="B526" i="1"/>
  <c r="G526" i="1" s="1"/>
  <c r="A526" i="1" s="1"/>
  <c r="AD526" i="1" s="1"/>
  <c r="AF525" i="1"/>
  <c r="AC525" i="1"/>
  <c r="T525" i="1" s="1"/>
  <c r="AB525" i="1"/>
  <c r="Y525" i="1"/>
  <c r="W525" i="1"/>
  <c r="X525" i="1" s="1"/>
  <c r="H525" i="1"/>
  <c r="I525" i="1" s="1"/>
  <c r="C525" i="1"/>
  <c r="B525" i="1"/>
  <c r="G525" i="1" s="1"/>
  <c r="A525" i="1" s="1"/>
  <c r="AD525" i="1" s="1"/>
  <c r="AF524" i="1"/>
  <c r="AC524" i="1"/>
  <c r="T524" i="1" s="1"/>
  <c r="AB524" i="1"/>
  <c r="Y524" i="1"/>
  <c r="AA524" i="1" s="1"/>
  <c r="W524" i="1"/>
  <c r="X524" i="1" s="1"/>
  <c r="H524" i="1"/>
  <c r="I524" i="1" s="1"/>
  <c r="C524" i="1"/>
  <c r="B524" i="1"/>
  <c r="G524" i="1" s="1"/>
  <c r="A524" i="1" s="1"/>
  <c r="AD524" i="1" s="1"/>
  <c r="AF523" i="1"/>
  <c r="AC523" i="1"/>
  <c r="T523" i="1" s="1"/>
  <c r="AB523" i="1"/>
  <c r="Y523" i="1"/>
  <c r="W523" i="1"/>
  <c r="X523" i="1" s="1"/>
  <c r="H523" i="1"/>
  <c r="I523" i="1" s="1"/>
  <c r="C523" i="1"/>
  <c r="AF522" i="1"/>
  <c r="AC522" i="1"/>
  <c r="T522" i="1" s="1"/>
  <c r="AB522" i="1"/>
  <c r="Y522" i="1"/>
  <c r="W522" i="1"/>
  <c r="X522" i="1" s="1"/>
  <c r="H522" i="1"/>
  <c r="I522" i="1" s="1"/>
  <c r="C522" i="1"/>
  <c r="AF521" i="1"/>
  <c r="AC521" i="1"/>
  <c r="T521" i="1" s="1"/>
  <c r="AB521" i="1"/>
  <c r="Y521" i="1"/>
  <c r="W521" i="1"/>
  <c r="X521" i="1" s="1"/>
  <c r="H521" i="1"/>
  <c r="I521" i="1" s="1"/>
  <c r="C521" i="1"/>
  <c r="AF520" i="1"/>
  <c r="AC520" i="1"/>
  <c r="T520" i="1" s="1"/>
  <c r="AB520" i="1"/>
  <c r="Y520" i="1"/>
  <c r="AA520" i="1" s="1"/>
  <c r="W520" i="1"/>
  <c r="X520" i="1" s="1"/>
  <c r="H520" i="1"/>
  <c r="I520" i="1" s="1"/>
  <c r="C520" i="1"/>
  <c r="B520" i="1"/>
  <c r="G520" i="1" s="1"/>
  <c r="A520" i="1" s="1"/>
  <c r="AD520" i="1" s="1"/>
  <c r="AF519" i="1"/>
  <c r="AC519" i="1"/>
  <c r="T519" i="1" s="1"/>
  <c r="AB519" i="1"/>
  <c r="Y519" i="1"/>
  <c r="W519" i="1"/>
  <c r="X519" i="1" s="1"/>
  <c r="H519" i="1"/>
  <c r="I519" i="1" s="1"/>
  <c r="C519" i="1"/>
  <c r="AF518" i="1"/>
  <c r="AC518" i="1"/>
  <c r="T518" i="1" s="1"/>
  <c r="AB518" i="1"/>
  <c r="Y518" i="1"/>
  <c r="W518" i="1"/>
  <c r="X518" i="1" s="1"/>
  <c r="H518" i="1"/>
  <c r="I518" i="1" s="1"/>
  <c r="C518" i="1"/>
  <c r="AF517" i="1"/>
  <c r="AC517" i="1"/>
  <c r="T517" i="1" s="1"/>
  <c r="AB517" i="1"/>
  <c r="Y517" i="1"/>
  <c r="W517" i="1"/>
  <c r="X517" i="1" s="1"/>
  <c r="H517" i="1"/>
  <c r="I517" i="1" s="1"/>
  <c r="C517" i="1"/>
  <c r="AF516" i="1"/>
  <c r="AC516" i="1"/>
  <c r="T516" i="1" s="1"/>
  <c r="AB516" i="1"/>
  <c r="Y516" i="1"/>
  <c r="AA516" i="1" s="1"/>
  <c r="W516" i="1"/>
  <c r="X516" i="1" s="1"/>
  <c r="H516" i="1"/>
  <c r="I516" i="1" s="1"/>
  <c r="C516" i="1"/>
  <c r="B516" i="1"/>
  <c r="G516" i="1" s="1"/>
  <c r="A516" i="1" s="1"/>
  <c r="AD516" i="1" s="1"/>
  <c r="AF515" i="1"/>
  <c r="AC515" i="1"/>
  <c r="T515" i="1" s="1"/>
  <c r="AB515" i="1"/>
  <c r="Y515" i="1"/>
  <c r="W515" i="1"/>
  <c r="X515" i="1" s="1"/>
  <c r="H515" i="1"/>
  <c r="I515" i="1" s="1"/>
  <c r="C515" i="1"/>
  <c r="B515" i="1"/>
  <c r="G515" i="1" s="1"/>
  <c r="A515" i="1" s="1"/>
  <c r="AD515" i="1" s="1"/>
  <c r="AF514" i="1"/>
  <c r="AC514" i="1"/>
  <c r="T514" i="1" s="1"/>
  <c r="AB514" i="1"/>
  <c r="Y514" i="1"/>
  <c r="W514" i="1"/>
  <c r="X514" i="1" s="1"/>
  <c r="H514" i="1"/>
  <c r="I514" i="1" s="1"/>
  <c r="C514" i="1"/>
  <c r="B514" i="1"/>
  <c r="G514" i="1" s="1"/>
  <c r="A514" i="1" s="1"/>
  <c r="AD514" i="1" s="1"/>
  <c r="AF513" i="1"/>
  <c r="AC513" i="1"/>
  <c r="T513" i="1" s="1"/>
  <c r="AB513" i="1"/>
  <c r="Y513" i="1"/>
  <c r="W513" i="1"/>
  <c r="X513" i="1" s="1"/>
  <c r="H513" i="1"/>
  <c r="I513" i="1" s="1"/>
  <c r="C513" i="1"/>
  <c r="AF512" i="1"/>
  <c r="AC512" i="1"/>
  <c r="T512" i="1" s="1"/>
  <c r="AB512" i="1"/>
  <c r="Y512" i="1"/>
  <c r="AA512" i="1" s="1"/>
  <c r="W512" i="1"/>
  <c r="X512" i="1" s="1"/>
  <c r="H512" i="1"/>
  <c r="I512" i="1" s="1"/>
  <c r="C512" i="1"/>
  <c r="B512" i="1"/>
  <c r="G512" i="1" s="1"/>
  <c r="A512" i="1" s="1"/>
  <c r="AD512" i="1" s="1"/>
  <c r="AF511" i="1"/>
  <c r="AC511" i="1"/>
  <c r="T511" i="1" s="1"/>
  <c r="AB511" i="1"/>
  <c r="Y511" i="1"/>
  <c r="W511" i="1"/>
  <c r="X511" i="1" s="1"/>
  <c r="H511" i="1"/>
  <c r="I511" i="1" s="1"/>
  <c r="C511" i="1"/>
  <c r="AF510" i="1"/>
  <c r="AC510" i="1"/>
  <c r="T510" i="1" s="1"/>
  <c r="AB510" i="1"/>
  <c r="Y510" i="1"/>
  <c r="W510" i="1"/>
  <c r="X510" i="1" s="1"/>
  <c r="H510" i="1"/>
  <c r="I510" i="1" s="1"/>
  <c r="C510" i="1"/>
  <c r="AF509" i="1"/>
  <c r="AC509" i="1"/>
  <c r="T509" i="1" s="1"/>
  <c r="AB509" i="1"/>
  <c r="Y509" i="1"/>
  <c r="W509" i="1"/>
  <c r="X509" i="1" s="1"/>
  <c r="H509" i="1"/>
  <c r="I509" i="1" s="1"/>
  <c r="C509" i="1"/>
  <c r="AF508" i="1"/>
  <c r="AC508" i="1"/>
  <c r="T508" i="1" s="1"/>
  <c r="AB508" i="1"/>
  <c r="Y508" i="1"/>
  <c r="AA508" i="1" s="1"/>
  <c r="W508" i="1"/>
  <c r="X508" i="1" s="1"/>
  <c r="H508" i="1"/>
  <c r="I508" i="1" s="1"/>
  <c r="C508" i="1"/>
  <c r="B508" i="1"/>
  <c r="G508" i="1" s="1"/>
  <c r="A508" i="1" s="1"/>
  <c r="AD508" i="1" s="1"/>
  <c r="AF507" i="1"/>
  <c r="AC507" i="1"/>
  <c r="T507" i="1" s="1"/>
  <c r="AB507" i="1"/>
  <c r="Y507" i="1"/>
  <c r="W507" i="1"/>
  <c r="X507" i="1" s="1"/>
  <c r="H507" i="1"/>
  <c r="I507" i="1" s="1"/>
  <c r="C507" i="1"/>
  <c r="B507" i="1"/>
  <c r="G507" i="1" s="1"/>
  <c r="A507" i="1" s="1"/>
  <c r="AD507" i="1" s="1"/>
  <c r="AF506" i="1"/>
  <c r="AC506" i="1"/>
  <c r="T506" i="1" s="1"/>
  <c r="AB506" i="1"/>
  <c r="Y506" i="1"/>
  <c r="W506" i="1"/>
  <c r="X506" i="1" s="1"/>
  <c r="H506" i="1"/>
  <c r="I506" i="1" s="1"/>
  <c r="C506" i="1"/>
  <c r="AF505" i="1"/>
  <c r="AC505" i="1"/>
  <c r="T505" i="1" s="1"/>
  <c r="AB505" i="1"/>
  <c r="Y505" i="1"/>
  <c r="W505" i="1"/>
  <c r="X505" i="1" s="1"/>
  <c r="H505" i="1"/>
  <c r="I505" i="1" s="1"/>
  <c r="C505" i="1"/>
  <c r="AF504" i="1"/>
  <c r="AC504" i="1"/>
  <c r="T504" i="1" s="1"/>
  <c r="AB504" i="1"/>
  <c r="Y504" i="1"/>
  <c r="AA504" i="1" s="1"/>
  <c r="W504" i="1"/>
  <c r="X504" i="1" s="1"/>
  <c r="H504" i="1"/>
  <c r="I504" i="1" s="1"/>
  <c r="C504" i="1"/>
  <c r="AF503" i="1"/>
  <c r="AC503" i="1"/>
  <c r="T503" i="1" s="1"/>
  <c r="AB503" i="1"/>
  <c r="Y503" i="1"/>
  <c r="W503" i="1"/>
  <c r="X503" i="1" s="1"/>
  <c r="H503" i="1"/>
  <c r="I503" i="1" s="1"/>
  <c r="C503" i="1"/>
  <c r="AF502" i="1"/>
  <c r="AC502" i="1"/>
  <c r="T502" i="1" s="1"/>
  <c r="AB502" i="1"/>
  <c r="Y502" i="1"/>
  <c r="W502" i="1"/>
  <c r="X502" i="1" s="1"/>
  <c r="H502" i="1"/>
  <c r="I502" i="1" s="1"/>
  <c r="C502" i="1"/>
  <c r="AF501" i="1"/>
  <c r="AC501" i="1"/>
  <c r="T501" i="1" s="1"/>
  <c r="AB501" i="1"/>
  <c r="Y501" i="1"/>
  <c r="AA501" i="1" s="1"/>
  <c r="W501" i="1"/>
  <c r="X501" i="1" s="1"/>
  <c r="H501" i="1"/>
  <c r="I501" i="1" s="1"/>
  <c r="C501" i="1"/>
  <c r="B501" i="1"/>
  <c r="G501" i="1" s="1"/>
  <c r="A501" i="1" s="1"/>
  <c r="AD501" i="1" s="1"/>
  <c r="AF500" i="1"/>
  <c r="AC500" i="1"/>
  <c r="T500" i="1" s="1"/>
  <c r="AB500" i="1"/>
  <c r="Y500" i="1"/>
  <c r="AA500" i="1" s="1"/>
  <c r="W500" i="1"/>
  <c r="X500" i="1" s="1"/>
  <c r="H500" i="1"/>
  <c r="I500" i="1" s="1"/>
  <c r="C500" i="1"/>
  <c r="B500" i="1"/>
  <c r="G500" i="1" s="1"/>
  <c r="A500" i="1" s="1"/>
  <c r="AD500" i="1" s="1"/>
  <c r="AF499" i="1"/>
  <c r="AC499" i="1"/>
  <c r="T499" i="1" s="1"/>
  <c r="AB499" i="1"/>
  <c r="Y499" i="1"/>
  <c r="AA499" i="1" s="1"/>
  <c r="W499" i="1"/>
  <c r="X499" i="1" s="1"/>
  <c r="H499" i="1"/>
  <c r="I499" i="1" s="1"/>
  <c r="C499" i="1"/>
  <c r="B499" i="1"/>
  <c r="G499" i="1" s="1"/>
  <c r="A499" i="1" s="1"/>
  <c r="AD499" i="1" s="1"/>
  <c r="AF498" i="1"/>
  <c r="AC498" i="1"/>
  <c r="T498" i="1" s="1"/>
  <c r="AB498" i="1"/>
  <c r="Y498" i="1"/>
  <c r="W498" i="1"/>
  <c r="X498" i="1" s="1"/>
  <c r="H498" i="1"/>
  <c r="I498" i="1" s="1"/>
  <c r="C498" i="1"/>
  <c r="B498" i="1"/>
  <c r="G498" i="1" s="1"/>
  <c r="A498" i="1" s="1"/>
  <c r="AD498" i="1" s="1"/>
  <c r="AF497" i="1"/>
  <c r="AC497" i="1"/>
  <c r="T497" i="1" s="1"/>
  <c r="AB497" i="1"/>
  <c r="Y497" i="1"/>
  <c r="AA497" i="1" s="1"/>
  <c r="W497" i="1"/>
  <c r="X497" i="1" s="1"/>
  <c r="H497" i="1"/>
  <c r="I497" i="1" s="1"/>
  <c r="C497" i="1"/>
  <c r="B497" i="1"/>
  <c r="G497" i="1" s="1"/>
  <c r="A497" i="1" s="1"/>
  <c r="AD497" i="1" s="1"/>
  <c r="AF496" i="1"/>
  <c r="AC496" i="1"/>
  <c r="T496" i="1" s="1"/>
  <c r="AB496" i="1"/>
  <c r="Y496" i="1"/>
  <c r="AA496" i="1" s="1"/>
  <c r="W496" i="1"/>
  <c r="X496" i="1" s="1"/>
  <c r="H496" i="1"/>
  <c r="I496" i="1" s="1"/>
  <c r="C496" i="1"/>
  <c r="B496" i="1"/>
  <c r="G496" i="1" s="1"/>
  <c r="A496" i="1" s="1"/>
  <c r="AD496" i="1" s="1"/>
  <c r="AF495" i="1"/>
  <c r="AC495" i="1"/>
  <c r="T495" i="1" s="1"/>
  <c r="AB495" i="1"/>
  <c r="Y495" i="1"/>
  <c r="AA495" i="1" s="1"/>
  <c r="W495" i="1"/>
  <c r="X495" i="1" s="1"/>
  <c r="H495" i="1"/>
  <c r="I495" i="1" s="1"/>
  <c r="C495" i="1"/>
  <c r="B495" i="1"/>
  <c r="G495" i="1" s="1"/>
  <c r="A495" i="1" s="1"/>
  <c r="AD495" i="1" s="1"/>
  <c r="AF494" i="1"/>
  <c r="AC494" i="1"/>
  <c r="T494" i="1" s="1"/>
  <c r="AB494" i="1"/>
  <c r="Y494" i="1"/>
  <c r="W494" i="1"/>
  <c r="X494" i="1" s="1"/>
  <c r="H494" i="1"/>
  <c r="I494" i="1" s="1"/>
  <c r="C494" i="1"/>
  <c r="AF493" i="1"/>
  <c r="AC493" i="1"/>
  <c r="T493" i="1" s="1"/>
  <c r="AB493" i="1"/>
  <c r="Y493" i="1"/>
  <c r="AA493" i="1" s="1"/>
  <c r="W493" i="1"/>
  <c r="X493" i="1" s="1"/>
  <c r="H493" i="1"/>
  <c r="I493" i="1" s="1"/>
  <c r="C493" i="1"/>
  <c r="B493" i="1"/>
  <c r="G493" i="1" s="1"/>
  <c r="A493" i="1" s="1"/>
  <c r="AD493" i="1" s="1"/>
  <c r="AF492" i="1"/>
  <c r="AC492" i="1"/>
  <c r="T492" i="1" s="1"/>
  <c r="AB492" i="1"/>
  <c r="Y492" i="1"/>
  <c r="AA492" i="1" s="1"/>
  <c r="W492" i="1"/>
  <c r="X492" i="1" s="1"/>
  <c r="H492" i="1"/>
  <c r="I492" i="1" s="1"/>
  <c r="C492" i="1"/>
  <c r="B492" i="1"/>
  <c r="G492" i="1" s="1"/>
  <c r="A492" i="1" s="1"/>
  <c r="AD492" i="1" s="1"/>
  <c r="AF491" i="1"/>
  <c r="AC491" i="1"/>
  <c r="T491" i="1" s="1"/>
  <c r="AB491" i="1"/>
  <c r="Y491" i="1"/>
  <c r="AA491" i="1" s="1"/>
  <c r="W491" i="1"/>
  <c r="X491" i="1" s="1"/>
  <c r="H491" i="1"/>
  <c r="I491" i="1" s="1"/>
  <c r="C491" i="1"/>
  <c r="B491" i="1"/>
  <c r="G491" i="1" s="1"/>
  <c r="A491" i="1" s="1"/>
  <c r="AD491" i="1" s="1"/>
  <c r="AF490" i="1"/>
  <c r="AC490" i="1"/>
  <c r="T490" i="1" s="1"/>
  <c r="AB490" i="1"/>
  <c r="Y490" i="1"/>
  <c r="W490" i="1"/>
  <c r="X490" i="1" s="1"/>
  <c r="H490" i="1"/>
  <c r="I490" i="1" s="1"/>
  <c r="C490" i="1"/>
  <c r="B490" i="1"/>
  <c r="G490" i="1" s="1"/>
  <c r="A490" i="1" s="1"/>
  <c r="AD490" i="1" s="1"/>
  <c r="AF489" i="1"/>
  <c r="AC489" i="1"/>
  <c r="T489" i="1" s="1"/>
  <c r="AB489" i="1"/>
  <c r="Y489" i="1"/>
  <c r="AA489" i="1" s="1"/>
  <c r="W489" i="1"/>
  <c r="X489" i="1" s="1"/>
  <c r="H489" i="1"/>
  <c r="I489" i="1" s="1"/>
  <c r="C489" i="1"/>
  <c r="AF488" i="1"/>
  <c r="AC488" i="1"/>
  <c r="T488" i="1" s="1"/>
  <c r="AB488" i="1"/>
  <c r="Y488" i="1"/>
  <c r="AA488" i="1" s="1"/>
  <c r="W488" i="1"/>
  <c r="X488" i="1" s="1"/>
  <c r="H488" i="1"/>
  <c r="I488" i="1" s="1"/>
  <c r="C488" i="1"/>
  <c r="B488" i="1"/>
  <c r="G488" i="1" s="1"/>
  <c r="A488" i="1" s="1"/>
  <c r="AD488" i="1" s="1"/>
  <c r="AF487" i="1"/>
  <c r="AC487" i="1"/>
  <c r="T487" i="1" s="1"/>
  <c r="AB487" i="1"/>
  <c r="Y487" i="1"/>
  <c r="AA487" i="1" s="1"/>
  <c r="W487" i="1"/>
  <c r="X487" i="1" s="1"/>
  <c r="H487" i="1"/>
  <c r="I487" i="1" s="1"/>
  <c r="C487" i="1"/>
  <c r="AF486" i="1"/>
  <c r="AC486" i="1"/>
  <c r="T486" i="1" s="1"/>
  <c r="AB486" i="1"/>
  <c r="Y486" i="1"/>
  <c r="W486" i="1"/>
  <c r="X486" i="1" s="1"/>
  <c r="H486" i="1"/>
  <c r="I486" i="1" s="1"/>
  <c r="C486" i="1"/>
  <c r="AF485" i="1"/>
  <c r="AC485" i="1"/>
  <c r="T485" i="1" s="1"/>
  <c r="AB485" i="1"/>
  <c r="Y485" i="1"/>
  <c r="AA485" i="1" s="1"/>
  <c r="W485" i="1"/>
  <c r="X485" i="1" s="1"/>
  <c r="H485" i="1"/>
  <c r="I485" i="1" s="1"/>
  <c r="C485" i="1"/>
  <c r="B485" i="1"/>
  <c r="G485" i="1" s="1"/>
  <c r="A485" i="1" s="1"/>
  <c r="AD485" i="1" s="1"/>
  <c r="AF484" i="1"/>
  <c r="AC484" i="1"/>
  <c r="T484" i="1" s="1"/>
  <c r="AB484" i="1"/>
  <c r="Y484" i="1"/>
  <c r="AA484" i="1" s="1"/>
  <c r="W484" i="1"/>
  <c r="X484" i="1" s="1"/>
  <c r="H484" i="1"/>
  <c r="I484" i="1" s="1"/>
  <c r="C484" i="1"/>
  <c r="AF483" i="1"/>
  <c r="AC483" i="1"/>
  <c r="T483" i="1" s="1"/>
  <c r="AB483" i="1"/>
  <c r="Y483" i="1"/>
  <c r="AA483" i="1" s="1"/>
  <c r="W483" i="1"/>
  <c r="X483" i="1" s="1"/>
  <c r="H483" i="1"/>
  <c r="I483" i="1" s="1"/>
  <c r="C483" i="1"/>
  <c r="B483" i="1"/>
  <c r="G483" i="1" s="1"/>
  <c r="A483" i="1" s="1"/>
  <c r="AD483" i="1" s="1"/>
  <c r="AF482" i="1"/>
  <c r="AC482" i="1"/>
  <c r="T482" i="1" s="1"/>
  <c r="AB482" i="1"/>
  <c r="Y482" i="1"/>
  <c r="W482" i="1"/>
  <c r="X482" i="1" s="1"/>
  <c r="H482" i="1"/>
  <c r="I482" i="1" s="1"/>
  <c r="C482" i="1"/>
  <c r="AF481" i="1"/>
  <c r="AC481" i="1"/>
  <c r="T481" i="1" s="1"/>
  <c r="AB481" i="1"/>
  <c r="Y481" i="1"/>
  <c r="AA481" i="1" s="1"/>
  <c r="W481" i="1"/>
  <c r="X481" i="1" s="1"/>
  <c r="H481" i="1"/>
  <c r="I481" i="1" s="1"/>
  <c r="C481" i="1"/>
  <c r="B481" i="1"/>
  <c r="G481" i="1" s="1"/>
  <c r="A481" i="1" s="1"/>
  <c r="AD481" i="1" s="1"/>
  <c r="AF480" i="1"/>
  <c r="AC480" i="1"/>
  <c r="T480" i="1" s="1"/>
  <c r="AB480" i="1"/>
  <c r="Y480" i="1"/>
  <c r="AA480" i="1" s="1"/>
  <c r="W480" i="1"/>
  <c r="X480" i="1" s="1"/>
  <c r="H480" i="1"/>
  <c r="I480" i="1" s="1"/>
  <c r="C480" i="1"/>
  <c r="B480" i="1"/>
  <c r="G480" i="1" s="1"/>
  <c r="A480" i="1" s="1"/>
  <c r="AD480" i="1" s="1"/>
  <c r="AF479" i="1"/>
  <c r="AC479" i="1"/>
  <c r="T479" i="1" s="1"/>
  <c r="AB479" i="1"/>
  <c r="Y479" i="1"/>
  <c r="AA479" i="1" s="1"/>
  <c r="W479" i="1"/>
  <c r="X479" i="1" s="1"/>
  <c r="H479" i="1"/>
  <c r="I479" i="1" s="1"/>
  <c r="C479" i="1"/>
  <c r="B479" i="1"/>
  <c r="G479" i="1" s="1"/>
  <c r="A479" i="1" s="1"/>
  <c r="AD479" i="1" s="1"/>
  <c r="AF478" i="1"/>
  <c r="AC478" i="1"/>
  <c r="T478" i="1" s="1"/>
  <c r="AB478" i="1"/>
  <c r="Y478" i="1"/>
  <c r="W478" i="1"/>
  <c r="X478" i="1" s="1"/>
  <c r="H478" i="1"/>
  <c r="I478" i="1" s="1"/>
  <c r="C478" i="1"/>
  <c r="B478" i="1"/>
  <c r="G478" i="1" s="1"/>
  <c r="A478" i="1" s="1"/>
  <c r="AD478" i="1" s="1"/>
  <c r="AF477" i="1"/>
  <c r="AC477" i="1"/>
  <c r="T477" i="1" s="1"/>
  <c r="AB477" i="1"/>
  <c r="Y477" i="1"/>
  <c r="AA477" i="1" s="1"/>
  <c r="W477" i="1"/>
  <c r="X477" i="1" s="1"/>
  <c r="H477" i="1"/>
  <c r="I477" i="1" s="1"/>
  <c r="C477" i="1"/>
  <c r="B477" i="1"/>
  <c r="G477" i="1" s="1"/>
  <c r="A477" i="1" s="1"/>
  <c r="AD477" i="1" s="1"/>
  <c r="AF476" i="1"/>
  <c r="AC476" i="1"/>
  <c r="T476" i="1" s="1"/>
  <c r="AB476" i="1"/>
  <c r="Y476" i="1"/>
  <c r="AA476" i="1" s="1"/>
  <c r="W476" i="1"/>
  <c r="X476" i="1" s="1"/>
  <c r="H476" i="1"/>
  <c r="I476" i="1" s="1"/>
  <c r="C476" i="1"/>
  <c r="B476" i="1"/>
  <c r="G476" i="1" s="1"/>
  <c r="A476" i="1" s="1"/>
  <c r="AD476" i="1" s="1"/>
  <c r="AF475" i="1"/>
  <c r="AC475" i="1"/>
  <c r="T475" i="1" s="1"/>
  <c r="AB475" i="1"/>
  <c r="Y475" i="1"/>
  <c r="AA475" i="1" s="1"/>
  <c r="W475" i="1"/>
  <c r="X475" i="1" s="1"/>
  <c r="H475" i="1"/>
  <c r="I475" i="1" s="1"/>
  <c r="C475" i="1"/>
  <c r="AF474" i="1"/>
  <c r="AC474" i="1"/>
  <c r="T474" i="1" s="1"/>
  <c r="AB474" i="1"/>
  <c r="Y474" i="1"/>
  <c r="W474" i="1"/>
  <c r="X474" i="1" s="1"/>
  <c r="H474" i="1"/>
  <c r="I474" i="1" s="1"/>
  <c r="C474" i="1"/>
  <c r="AF473" i="1"/>
  <c r="AC473" i="1"/>
  <c r="T473" i="1" s="1"/>
  <c r="AB473" i="1"/>
  <c r="Y473" i="1"/>
  <c r="AA473" i="1" s="1"/>
  <c r="W473" i="1"/>
  <c r="X473" i="1" s="1"/>
  <c r="H473" i="1"/>
  <c r="I473" i="1" s="1"/>
  <c r="C473" i="1"/>
  <c r="B473" i="1"/>
  <c r="G473" i="1" s="1"/>
  <c r="A473" i="1" s="1"/>
  <c r="AD473" i="1" s="1"/>
  <c r="AF472" i="1"/>
  <c r="AC472" i="1"/>
  <c r="T472" i="1" s="1"/>
  <c r="AB472" i="1"/>
  <c r="Y472" i="1"/>
  <c r="AA472" i="1" s="1"/>
  <c r="W472" i="1"/>
  <c r="X472" i="1" s="1"/>
  <c r="H472" i="1"/>
  <c r="I472" i="1" s="1"/>
  <c r="C472" i="1"/>
  <c r="AF471" i="1"/>
  <c r="AC471" i="1"/>
  <c r="T471" i="1" s="1"/>
  <c r="AB471" i="1"/>
  <c r="Y471" i="1"/>
  <c r="AA471" i="1" s="1"/>
  <c r="W471" i="1"/>
  <c r="X471" i="1" s="1"/>
  <c r="H471" i="1"/>
  <c r="I471" i="1" s="1"/>
  <c r="C471" i="1"/>
  <c r="AF470" i="1"/>
  <c r="AC470" i="1"/>
  <c r="T470" i="1" s="1"/>
  <c r="AB470" i="1"/>
  <c r="Y470" i="1"/>
  <c r="W470" i="1"/>
  <c r="X470" i="1" s="1"/>
  <c r="H470" i="1"/>
  <c r="I470" i="1" s="1"/>
  <c r="C470" i="1"/>
  <c r="AF469" i="1"/>
  <c r="AC469" i="1"/>
  <c r="T469" i="1" s="1"/>
  <c r="AB469" i="1"/>
  <c r="Y469" i="1"/>
  <c r="AA469" i="1" s="1"/>
  <c r="W469" i="1"/>
  <c r="X469" i="1" s="1"/>
  <c r="H469" i="1"/>
  <c r="I469" i="1" s="1"/>
  <c r="C469" i="1"/>
  <c r="B469" i="1"/>
  <c r="G469" i="1" s="1"/>
  <c r="A469" i="1" s="1"/>
  <c r="AD469" i="1" s="1"/>
  <c r="AF468" i="1"/>
  <c r="AC468" i="1"/>
  <c r="T468" i="1" s="1"/>
  <c r="AB468" i="1"/>
  <c r="Y468" i="1"/>
  <c r="AA468" i="1" s="1"/>
  <c r="W468" i="1"/>
  <c r="X468" i="1" s="1"/>
  <c r="H468" i="1"/>
  <c r="I468" i="1" s="1"/>
  <c r="C468" i="1"/>
  <c r="AF467" i="1"/>
  <c r="AC467" i="1"/>
  <c r="T467" i="1" s="1"/>
  <c r="AB467" i="1"/>
  <c r="Y467" i="1"/>
  <c r="AA467" i="1" s="1"/>
  <c r="W467" i="1"/>
  <c r="X467" i="1" s="1"/>
  <c r="H467" i="1"/>
  <c r="I467" i="1" s="1"/>
  <c r="C467" i="1"/>
  <c r="B467" i="1"/>
  <c r="G467" i="1" s="1"/>
  <c r="A467" i="1" s="1"/>
  <c r="AD467" i="1" s="1"/>
  <c r="AF466" i="1"/>
  <c r="AC466" i="1"/>
  <c r="T466" i="1" s="1"/>
  <c r="AB466" i="1"/>
  <c r="Y466" i="1"/>
  <c r="W466" i="1"/>
  <c r="X466" i="1" s="1"/>
  <c r="H466" i="1"/>
  <c r="I466" i="1" s="1"/>
  <c r="C466" i="1"/>
  <c r="AF465" i="1"/>
  <c r="AC465" i="1"/>
  <c r="T465" i="1" s="1"/>
  <c r="AB465" i="1"/>
  <c r="Y465" i="1"/>
  <c r="AA465" i="1" s="1"/>
  <c r="W465" i="1"/>
  <c r="X465" i="1" s="1"/>
  <c r="H465" i="1"/>
  <c r="I465" i="1" s="1"/>
  <c r="C465" i="1"/>
  <c r="B465" i="1"/>
  <c r="G465" i="1" s="1"/>
  <c r="A465" i="1" s="1"/>
  <c r="AD465" i="1" s="1"/>
  <c r="AF464" i="1"/>
  <c r="AC464" i="1"/>
  <c r="T464" i="1" s="1"/>
  <c r="AB464" i="1"/>
  <c r="Y464" i="1"/>
  <c r="AA464" i="1" s="1"/>
  <c r="W464" i="1"/>
  <c r="X464" i="1" s="1"/>
  <c r="H464" i="1"/>
  <c r="I464" i="1" s="1"/>
  <c r="C464" i="1"/>
  <c r="B464" i="1"/>
  <c r="G464" i="1" s="1"/>
  <c r="A464" i="1" s="1"/>
  <c r="AD464" i="1" s="1"/>
  <c r="AF463" i="1"/>
  <c r="AC463" i="1"/>
  <c r="T463" i="1" s="1"/>
  <c r="AB463" i="1"/>
  <c r="Y463" i="1"/>
  <c r="AA463" i="1" s="1"/>
  <c r="W463" i="1"/>
  <c r="X463" i="1" s="1"/>
  <c r="H463" i="1"/>
  <c r="I463" i="1" s="1"/>
  <c r="C463" i="1"/>
  <c r="AF462" i="1"/>
  <c r="AC462" i="1"/>
  <c r="T462" i="1" s="1"/>
  <c r="AB462" i="1"/>
  <c r="Y462" i="1"/>
  <c r="W462" i="1"/>
  <c r="X462" i="1" s="1"/>
  <c r="H462" i="1"/>
  <c r="I462" i="1" s="1"/>
  <c r="C462" i="1"/>
  <c r="AF461" i="1"/>
  <c r="AC461" i="1"/>
  <c r="T461" i="1" s="1"/>
  <c r="AB461" i="1"/>
  <c r="Y461" i="1"/>
  <c r="AA461" i="1" s="1"/>
  <c r="W461" i="1"/>
  <c r="X461" i="1" s="1"/>
  <c r="H461" i="1"/>
  <c r="I461" i="1" s="1"/>
  <c r="C461" i="1"/>
  <c r="AF460" i="1"/>
  <c r="AC460" i="1"/>
  <c r="T460" i="1" s="1"/>
  <c r="AB460" i="1"/>
  <c r="Y460" i="1"/>
  <c r="AA460" i="1" s="1"/>
  <c r="W460" i="1"/>
  <c r="X460" i="1" s="1"/>
  <c r="H460" i="1"/>
  <c r="I460" i="1" s="1"/>
  <c r="C460" i="1"/>
  <c r="AF459" i="1"/>
  <c r="AC459" i="1"/>
  <c r="T459" i="1" s="1"/>
  <c r="AB459" i="1"/>
  <c r="Y459" i="1"/>
  <c r="AA459" i="1" s="1"/>
  <c r="W459" i="1"/>
  <c r="X459" i="1" s="1"/>
  <c r="H459" i="1"/>
  <c r="I459" i="1" s="1"/>
  <c r="C459" i="1"/>
  <c r="B459" i="1"/>
  <c r="G459" i="1" s="1"/>
  <c r="A459" i="1" s="1"/>
  <c r="AD459" i="1" s="1"/>
  <c r="AF458" i="1"/>
  <c r="AC458" i="1"/>
  <c r="T458" i="1" s="1"/>
  <c r="AB458" i="1"/>
  <c r="Y458" i="1"/>
  <c r="W458" i="1"/>
  <c r="X458" i="1" s="1"/>
  <c r="H458" i="1"/>
  <c r="I458" i="1" s="1"/>
  <c r="C458" i="1"/>
  <c r="AF457" i="1"/>
  <c r="AC457" i="1"/>
  <c r="T457" i="1" s="1"/>
  <c r="AB457" i="1"/>
  <c r="Y457" i="1"/>
  <c r="AA457" i="1" s="1"/>
  <c r="W457" i="1"/>
  <c r="X457" i="1" s="1"/>
  <c r="H457" i="1"/>
  <c r="I457" i="1" s="1"/>
  <c r="C457" i="1"/>
  <c r="AF456" i="1"/>
  <c r="AC456" i="1"/>
  <c r="T456" i="1" s="1"/>
  <c r="AB456" i="1"/>
  <c r="Y456" i="1"/>
  <c r="AA456" i="1" s="1"/>
  <c r="W456" i="1"/>
  <c r="X456" i="1" s="1"/>
  <c r="H456" i="1"/>
  <c r="I456" i="1" s="1"/>
  <c r="C456" i="1"/>
  <c r="AF455" i="1"/>
  <c r="AC455" i="1"/>
  <c r="T455" i="1" s="1"/>
  <c r="AB455" i="1"/>
  <c r="Y455" i="1"/>
  <c r="AA455" i="1" s="1"/>
  <c r="W455" i="1"/>
  <c r="X455" i="1" s="1"/>
  <c r="H455" i="1"/>
  <c r="I455" i="1" s="1"/>
  <c r="C455" i="1"/>
  <c r="AF454" i="1"/>
  <c r="AC454" i="1"/>
  <c r="T454" i="1" s="1"/>
  <c r="AB454" i="1"/>
  <c r="Y454" i="1"/>
  <c r="W454" i="1"/>
  <c r="X454" i="1" s="1"/>
  <c r="H454" i="1"/>
  <c r="I454" i="1" s="1"/>
  <c r="C454" i="1"/>
  <c r="AF453" i="1"/>
  <c r="AC453" i="1"/>
  <c r="T453" i="1" s="1"/>
  <c r="AB453" i="1"/>
  <c r="Y453" i="1"/>
  <c r="W453" i="1"/>
  <c r="X453" i="1" s="1"/>
  <c r="H453" i="1"/>
  <c r="I453" i="1" s="1"/>
  <c r="C453" i="1"/>
  <c r="AF452" i="1"/>
  <c r="AC452" i="1"/>
  <c r="T452" i="1" s="1"/>
  <c r="AB452" i="1"/>
  <c r="Y452" i="1"/>
  <c r="AA452" i="1" s="1"/>
  <c r="W452" i="1"/>
  <c r="X452" i="1" s="1"/>
  <c r="H452" i="1"/>
  <c r="I452" i="1" s="1"/>
  <c r="C452" i="1"/>
  <c r="AF451" i="1"/>
  <c r="AC451" i="1"/>
  <c r="T451" i="1" s="1"/>
  <c r="AB451" i="1"/>
  <c r="Y451" i="1"/>
  <c r="AA451" i="1" s="1"/>
  <c r="W451" i="1"/>
  <c r="X451" i="1" s="1"/>
  <c r="H451" i="1"/>
  <c r="I451" i="1" s="1"/>
  <c r="C451" i="1"/>
  <c r="B451" i="1"/>
  <c r="G451" i="1" s="1"/>
  <c r="A451" i="1" s="1"/>
  <c r="AD451" i="1" s="1"/>
  <c r="AF450" i="1"/>
  <c r="AC450" i="1"/>
  <c r="T450" i="1" s="1"/>
  <c r="AB450" i="1"/>
  <c r="Y450" i="1"/>
  <c r="AA450" i="1" s="1"/>
  <c r="W450" i="1"/>
  <c r="X450" i="1" s="1"/>
  <c r="H450" i="1"/>
  <c r="I450" i="1" s="1"/>
  <c r="C450" i="1"/>
  <c r="B450" i="1"/>
  <c r="G450" i="1" s="1"/>
  <c r="A450" i="1" s="1"/>
  <c r="AD450" i="1" s="1"/>
  <c r="AF449" i="1"/>
  <c r="AC449" i="1"/>
  <c r="T449" i="1" s="1"/>
  <c r="AB449" i="1"/>
  <c r="Y449" i="1"/>
  <c r="W449" i="1"/>
  <c r="X449" i="1" s="1"/>
  <c r="H449" i="1"/>
  <c r="I449" i="1" s="1"/>
  <c r="C449" i="1"/>
  <c r="AF448" i="1"/>
  <c r="AC448" i="1"/>
  <c r="T448" i="1" s="1"/>
  <c r="AB448" i="1"/>
  <c r="Y448" i="1"/>
  <c r="AA448" i="1" s="1"/>
  <c r="W448" i="1"/>
  <c r="X448" i="1" s="1"/>
  <c r="H448" i="1"/>
  <c r="I448" i="1" s="1"/>
  <c r="C448" i="1"/>
  <c r="B448" i="1"/>
  <c r="G448" i="1" s="1"/>
  <c r="A448" i="1" s="1"/>
  <c r="AD448" i="1" s="1"/>
  <c r="AF447" i="1"/>
  <c r="AC447" i="1"/>
  <c r="T447" i="1" s="1"/>
  <c r="AB447" i="1"/>
  <c r="Y447" i="1"/>
  <c r="AA447" i="1" s="1"/>
  <c r="W447" i="1"/>
  <c r="X447" i="1" s="1"/>
  <c r="H447" i="1"/>
  <c r="I447" i="1" s="1"/>
  <c r="C447" i="1"/>
  <c r="B447" i="1"/>
  <c r="G447" i="1" s="1"/>
  <c r="A447" i="1" s="1"/>
  <c r="AD447" i="1" s="1"/>
  <c r="AF446" i="1"/>
  <c r="AC446" i="1"/>
  <c r="T446" i="1" s="1"/>
  <c r="AB446" i="1"/>
  <c r="Y446" i="1"/>
  <c r="AA446" i="1" s="1"/>
  <c r="W446" i="1"/>
  <c r="X446" i="1" s="1"/>
  <c r="H446" i="1"/>
  <c r="I446" i="1" s="1"/>
  <c r="C446" i="1"/>
  <c r="AF445" i="1"/>
  <c r="AC445" i="1"/>
  <c r="T445" i="1" s="1"/>
  <c r="AB445" i="1"/>
  <c r="Y445" i="1"/>
  <c r="W445" i="1"/>
  <c r="X445" i="1" s="1"/>
  <c r="H445" i="1"/>
  <c r="I445" i="1" s="1"/>
  <c r="C445" i="1"/>
  <c r="AF444" i="1"/>
  <c r="AC444" i="1"/>
  <c r="T444" i="1" s="1"/>
  <c r="AB444" i="1"/>
  <c r="Y444" i="1"/>
  <c r="AA444" i="1" s="1"/>
  <c r="W444" i="1"/>
  <c r="X444" i="1" s="1"/>
  <c r="H444" i="1"/>
  <c r="I444" i="1" s="1"/>
  <c r="C444" i="1"/>
  <c r="AF443" i="1"/>
  <c r="AC443" i="1"/>
  <c r="T443" i="1" s="1"/>
  <c r="AB443" i="1"/>
  <c r="Y443" i="1"/>
  <c r="AA443" i="1" s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AA442" i="1" s="1"/>
  <c r="W442" i="1"/>
  <c r="X442" i="1" s="1"/>
  <c r="H442" i="1"/>
  <c r="I442" i="1" s="1"/>
  <c r="C442" i="1"/>
  <c r="AF441" i="1"/>
  <c r="AC441" i="1"/>
  <c r="T441" i="1" s="1"/>
  <c r="AB441" i="1"/>
  <c r="Y441" i="1"/>
  <c r="W441" i="1"/>
  <c r="X441" i="1" s="1"/>
  <c r="H441" i="1"/>
  <c r="I441" i="1" s="1"/>
  <c r="C441" i="1"/>
  <c r="AF440" i="1"/>
  <c r="AC440" i="1"/>
  <c r="T440" i="1" s="1"/>
  <c r="AB440" i="1"/>
  <c r="Y440" i="1"/>
  <c r="AA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AA439" i="1" s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AA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W437" i="1"/>
  <c r="X437" i="1" s="1"/>
  <c r="H437" i="1"/>
  <c r="I437" i="1" s="1"/>
  <c r="C437" i="1"/>
  <c r="AF436" i="1"/>
  <c r="AC436" i="1"/>
  <c r="T436" i="1" s="1"/>
  <c r="AB436" i="1"/>
  <c r="Y436" i="1"/>
  <c r="AA436" i="1" s="1"/>
  <c r="W436" i="1"/>
  <c r="X436" i="1" s="1"/>
  <c r="H436" i="1"/>
  <c r="I436" i="1" s="1"/>
  <c r="C436" i="1"/>
  <c r="AF435" i="1"/>
  <c r="AC435" i="1"/>
  <c r="T435" i="1" s="1"/>
  <c r="AB435" i="1"/>
  <c r="Y435" i="1"/>
  <c r="AA435" i="1" s="1"/>
  <c r="W435" i="1"/>
  <c r="X435" i="1" s="1"/>
  <c r="H435" i="1"/>
  <c r="I435" i="1" s="1"/>
  <c r="C435" i="1"/>
  <c r="AF434" i="1"/>
  <c r="AC434" i="1"/>
  <c r="T434" i="1" s="1"/>
  <c r="AB434" i="1"/>
  <c r="Y434" i="1"/>
  <c r="AA434" i="1" s="1"/>
  <c r="W434" i="1"/>
  <c r="X434" i="1" s="1"/>
  <c r="H434" i="1"/>
  <c r="I434" i="1" s="1"/>
  <c r="C434" i="1"/>
  <c r="AF433" i="1"/>
  <c r="AC433" i="1"/>
  <c r="T433" i="1" s="1"/>
  <c r="AB433" i="1"/>
  <c r="Y433" i="1"/>
  <c r="W433" i="1"/>
  <c r="X433" i="1" s="1"/>
  <c r="H433" i="1"/>
  <c r="I433" i="1" s="1"/>
  <c r="C433" i="1"/>
  <c r="AF432" i="1"/>
  <c r="AC432" i="1"/>
  <c r="T432" i="1" s="1"/>
  <c r="AB432" i="1"/>
  <c r="Y432" i="1"/>
  <c r="AA432" i="1" s="1"/>
  <c r="W432" i="1"/>
  <c r="X432" i="1" s="1"/>
  <c r="H432" i="1"/>
  <c r="I432" i="1" s="1"/>
  <c r="C432" i="1"/>
  <c r="AF431" i="1"/>
  <c r="AC431" i="1"/>
  <c r="T431" i="1" s="1"/>
  <c r="AB431" i="1"/>
  <c r="Y431" i="1"/>
  <c r="AA431" i="1" s="1"/>
  <c r="W431" i="1"/>
  <c r="X431" i="1" s="1"/>
  <c r="H431" i="1"/>
  <c r="I431" i="1" s="1"/>
  <c r="C431" i="1"/>
  <c r="AF430" i="1"/>
  <c r="AC430" i="1"/>
  <c r="T430" i="1" s="1"/>
  <c r="AB430" i="1"/>
  <c r="Y430" i="1"/>
  <c r="AA430" i="1" s="1"/>
  <c r="W430" i="1"/>
  <c r="X430" i="1" s="1"/>
  <c r="H430" i="1"/>
  <c r="I430" i="1" s="1"/>
  <c r="C430" i="1"/>
  <c r="AF429" i="1"/>
  <c r="AC429" i="1"/>
  <c r="T429" i="1" s="1"/>
  <c r="AB429" i="1"/>
  <c r="Y429" i="1"/>
  <c r="W429" i="1"/>
  <c r="X429" i="1" s="1"/>
  <c r="H429" i="1"/>
  <c r="I429" i="1" s="1"/>
  <c r="C429" i="1"/>
  <c r="AF428" i="1"/>
  <c r="AC428" i="1"/>
  <c r="T428" i="1" s="1"/>
  <c r="AB428" i="1"/>
  <c r="Y428" i="1"/>
  <c r="AA428" i="1" s="1"/>
  <c r="W428" i="1"/>
  <c r="X428" i="1" s="1"/>
  <c r="H428" i="1"/>
  <c r="I428" i="1" s="1"/>
  <c r="C428" i="1"/>
  <c r="AF427" i="1"/>
  <c r="AC427" i="1"/>
  <c r="T427" i="1" s="1"/>
  <c r="AB427" i="1"/>
  <c r="Y427" i="1"/>
  <c r="AA427" i="1" s="1"/>
  <c r="W427" i="1"/>
  <c r="X427" i="1" s="1"/>
  <c r="H427" i="1"/>
  <c r="I427" i="1" s="1"/>
  <c r="C427" i="1"/>
  <c r="AF426" i="1"/>
  <c r="AC426" i="1"/>
  <c r="T426" i="1" s="1"/>
  <c r="AB426" i="1"/>
  <c r="Y426" i="1"/>
  <c r="AA426" i="1" s="1"/>
  <c r="W426" i="1"/>
  <c r="X426" i="1" s="1"/>
  <c r="H426" i="1"/>
  <c r="I426" i="1" s="1"/>
  <c r="C426" i="1"/>
  <c r="AF425" i="1"/>
  <c r="AC425" i="1"/>
  <c r="T425" i="1" s="1"/>
  <c r="AB425" i="1"/>
  <c r="Y425" i="1"/>
  <c r="W425" i="1"/>
  <c r="X425" i="1" s="1"/>
  <c r="H425" i="1"/>
  <c r="I425" i="1" s="1"/>
  <c r="C425" i="1"/>
  <c r="AF424" i="1"/>
  <c r="AC424" i="1"/>
  <c r="T424" i="1" s="1"/>
  <c r="AB424" i="1"/>
  <c r="Y424" i="1"/>
  <c r="AA424" i="1" s="1"/>
  <c r="W424" i="1"/>
  <c r="X424" i="1" s="1"/>
  <c r="H424" i="1"/>
  <c r="I424" i="1" s="1"/>
  <c r="C424" i="1"/>
  <c r="AF423" i="1"/>
  <c r="AC423" i="1"/>
  <c r="T423" i="1" s="1"/>
  <c r="AB423" i="1"/>
  <c r="Y423" i="1"/>
  <c r="AA423" i="1" s="1"/>
  <c r="W423" i="1"/>
  <c r="X423" i="1" s="1"/>
  <c r="H423" i="1"/>
  <c r="I423" i="1" s="1"/>
  <c r="C423" i="1"/>
  <c r="AF422" i="1"/>
  <c r="AC422" i="1"/>
  <c r="T422" i="1" s="1"/>
  <c r="AB422" i="1"/>
  <c r="Y422" i="1"/>
  <c r="AA422" i="1" s="1"/>
  <c r="W422" i="1"/>
  <c r="X422" i="1" s="1"/>
  <c r="H422" i="1"/>
  <c r="I422" i="1" s="1"/>
  <c r="C422" i="1"/>
  <c r="AF421" i="1"/>
  <c r="AC421" i="1"/>
  <c r="T421" i="1" s="1"/>
  <c r="AB421" i="1"/>
  <c r="Y421" i="1"/>
  <c r="W421" i="1"/>
  <c r="X421" i="1" s="1"/>
  <c r="H421" i="1"/>
  <c r="I421" i="1" s="1"/>
  <c r="C421" i="1"/>
  <c r="AF420" i="1"/>
  <c r="AC420" i="1"/>
  <c r="T420" i="1" s="1"/>
  <c r="AB420" i="1"/>
  <c r="Y420" i="1"/>
  <c r="W420" i="1"/>
  <c r="X420" i="1" s="1"/>
  <c r="H420" i="1"/>
  <c r="I420" i="1" s="1"/>
  <c r="C420" i="1"/>
  <c r="AF419" i="1"/>
  <c r="AC419" i="1"/>
  <c r="T419" i="1" s="1"/>
  <c r="AB419" i="1"/>
  <c r="Y419" i="1"/>
  <c r="AA419" i="1" s="1"/>
  <c r="W419" i="1"/>
  <c r="X419" i="1" s="1"/>
  <c r="H419" i="1"/>
  <c r="I419" i="1" s="1"/>
  <c r="C419" i="1"/>
  <c r="AF418" i="1"/>
  <c r="AC418" i="1"/>
  <c r="T418" i="1" s="1"/>
  <c r="AB418" i="1"/>
  <c r="Y418" i="1"/>
  <c r="W418" i="1"/>
  <c r="X418" i="1" s="1"/>
  <c r="H418" i="1"/>
  <c r="I418" i="1" s="1"/>
  <c r="C418" i="1"/>
  <c r="AF417" i="1"/>
  <c r="AC417" i="1"/>
  <c r="T417" i="1" s="1"/>
  <c r="AB417" i="1"/>
  <c r="Y417" i="1"/>
  <c r="W417" i="1"/>
  <c r="X417" i="1" s="1"/>
  <c r="H417" i="1"/>
  <c r="I417" i="1" s="1"/>
  <c r="C417" i="1"/>
  <c r="AF416" i="1"/>
  <c r="AC416" i="1"/>
  <c r="T416" i="1" s="1"/>
  <c r="AB416" i="1"/>
  <c r="Y416" i="1"/>
  <c r="W416" i="1"/>
  <c r="X416" i="1" s="1"/>
  <c r="H416" i="1"/>
  <c r="I416" i="1" s="1"/>
  <c r="C416" i="1"/>
  <c r="AF415" i="1"/>
  <c r="AC415" i="1"/>
  <c r="T415" i="1" s="1"/>
  <c r="AB415" i="1"/>
  <c r="Y415" i="1"/>
  <c r="AA415" i="1" s="1"/>
  <c r="W415" i="1"/>
  <c r="X415" i="1" s="1"/>
  <c r="H415" i="1"/>
  <c r="I415" i="1" s="1"/>
  <c r="C415" i="1"/>
  <c r="AF414" i="1"/>
  <c r="AC414" i="1"/>
  <c r="T414" i="1" s="1"/>
  <c r="AB414" i="1"/>
  <c r="Y414" i="1"/>
  <c r="W414" i="1"/>
  <c r="X414" i="1" s="1"/>
  <c r="H414" i="1"/>
  <c r="I414" i="1" s="1"/>
  <c r="C414" i="1"/>
  <c r="AF413" i="1"/>
  <c r="AC413" i="1"/>
  <c r="T413" i="1" s="1"/>
  <c r="AB413" i="1"/>
  <c r="Y413" i="1"/>
  <c r="W413" i="1"/>
  <c r="X413" i="1" s="1"/>
  <c r="H413" i="1"/>
  <c r="I413" i="1" s="1"/>
  <c r="C413" i="1"/>
  <c r="AF412" i="1"/>
  <c r="AC412" i="1"/>
  <c r="T412" i="1" s="1"/>
  <c r="AB412" i="1"/>
  <c r="Y412" i="1"/>
  <c r="W412" i="1"/>
  <c r="X412" i="1" s="1"/>
  <c r="H412" i="1"/>
  <c r="I412" i="1" s="1"/>
  <c r="C412" i="1"/>
  <c r="AF411" i="1"/>
  <c r="AC411" i="1"/>
  <c r="T411" i="1" s="1"/>
  <c r="AB411" i="1"/>
  <c r="Y411" i="1"/>
  <c r="AA411" i="1" s="1"/>
  <c r="W411" i="1"/>
  <c r="X411" i="1" s="1"/>
  <c r="H411" i="1"/>
  <c r="I411" i="1" s="1"/>
  <c r="C411" i="1"/>
  <c r="AF410" i="1"/>
  <c r="AC410" i="1"/>
  <c r="T410" i="1" s="1"/>
  <c r="AB410" i="1"/>
  <c r="Y410" i="1"/>
  <c r="W410" i="1"/>
  <c r="X410" i="1" s="1"/>
  <c r="H410" i="1"/>
  <c r="I410" i="1" s="1"/>
  <c r="C410" i="1"/>
  <c r="AF409" i="1"/>
  <c r="AC409" i="1"/>
  <c r="T409" i="1" s="1"/>
  <c r="AB409" i="1"/>
  <c r="Y409" i="1"/>
  <c r="W409" i="1"/>
  <c r="X409" i="1" s="1"/>
  <c r="H409" i="1"/>
  <c r="I409" i="1" s="1"/>
  <c r="C409" i="1"/>
  <c r="AF408" i="1"/>
  <c r="AC408" i="1"/>
  <c r="T408" i="1" s="1"/>
  <c r="AB408" i="1"/>
  <c r="Y408" i="1"/>
  <c r="W408" i="1"/>
  <c r="X408" i="1" s="1"/>
  <c r="H408" i="1"/>
  <c r="I408" i="1" s="1"/>
  <c r="C408" i="1"/>
  <c r="AF407" i="1"/>
  <c r="AC407" i="1"/>
  <c r="T407" i="1" s="1"/>
  <c r="AB407" i="1"/>
  <c r="Y407" i="1"/>
  <c r="AA407" i="1" s="1"/>
  <c r="W407" i="1"/>
  <c r="X407" i="1" s="1"/>
  <c r="H407" i="1"/>
  <c r="I407" i="1" s="1"/>
  <c r="C407" i="1"/>
  <c r="AF406" i="1"/>
  <c r="AC406" i="1"/>
  <c r="T406" i="1" s="1"/>
  <c r="AB406" i="1"/>
  <c r="Y406" i="1"/>
  <c r="W406" i="1"/>
  <c r="X406" i="1" s="1"/>
  <c r="H406" i="1"/>
  <c r="I406" i="1" s="1"/>
  <c r="C406" i="1"/>
  <c r="AF405" i="1"/>
  <c r="AC405" i="1"/>
  <c r="T405" i="1" s="1"/>
  <c r="AB405" i="1"/>
  <c r="Y405" i="1"/>
  <c r="W405" i="1"/>
  <c r="X405" i="1" s="1"/>
  <c r="H405" i="1"/>
  <c r="I405" i="1" s="1"/>
  <c r="C405" i="1"/>
  <c r="AF404" i="1"/>
  <c r="AC404" i="1"/>
  <c r="T404" i="1" s="1"/>
  <c r="AB404" i="1"/>
  <c r="Y404" i="1"/>
  <c r="W404" i="1"/>
  <c r="X404" i="1" s="1"/>
  <c r="H404" i="1"/>
  <c r="I404" i="1" s="1"/>
  <c r="C404" i="1"/>
  <c r="AF403" i="1"/>
  <c r="AC403" i="1"/>
  <c r="T403" i="1" s="1"/>
  <c r="AB403" i="1"/>
  <c r="Y403" i="1"/>
  <c r="AA403" i="1" s="1"/>
  <c r="W403" i="1"/>
  <c r="X403" i="1" s="1"/>
  <c r="H403" i="1"/>
  <c r="I403" i="1" s="1"/>
  <c r="C403" i="1"/>
  <c r="AF402" i="1"/>
  <c r="AC402" i="1"/>
  <c r="T402" i="1" s="1"/>
  <c r="AB402" i="1"/>
  <c r="Y402" i="1"/>
  <c r="W402" i="1"/>
  <c r="X402" i="1" s="1"/>
  <c r="H402" i="1"/>
  <c r="I402" i="1" s="1"/>
  <c r="C402" i="1"/>
  <c r="AF401" i="1"/>
  <c r="AC401" i="1"/>
  <c r="T401" i="1" s="1"/>
  <c r="AB401" i="1"/>
  <c r="Y401" i="1"/>
  <c r="W401" i="1"/>
  <c r="X401" i="1" s="1"/>
  <c r="H401" i="1"/>
  <c r="I401" i="1" s="1"/>
  <c r="C401" i="1"/>
  <c r="AF400" i="1"/>
  <c r="AC400" i="1"/>
  <c r="T400" i="1" s="1"/>
  <c r="AB400" i="1"/>
  <c r="Y400" i="1"/>
  <c r="W400" i="1"/>
  <c r="X400" i="1" s="1"/>
  <c r="H400" i="1"/>
  <c r="I400" i="1" s="1"/>
  <c r="C400" i="1"/>
  <c r="AF399" i="1"/>
  <c r="AC399" i="1"/>
  <c r="T399" i="1" s="1"/>
  <c r="AB399" i="1"/>
  <c r="Y399" i="1"/>
  <c r="AA399" i="1" s="1"/>
  <c r="W399" i="1"/>
  <c r="X399" i="1" s="1"/>
  <c r="H399" i="1"/>
  <c r="I399" i="1" s="1"/>
  <c r="C399" i="1"/>
  <c r="AF398" i="1"/>
  <c r="AC398" i="1"/>
  <c r="T398" i="1" s="1"/>
  <c r="AB398" i="1"/>
  <c r="Y398" i="1"/>
  <c r="AA398" i="1" s="1"/>
  <c r="W398" i="1"/>
  <c r="X398" i="1" s="1"/>
  <c r="H398" i="1"/>
  <c r="I398" i="1" s="1"/>
  <c r="C398" i="1"/>
  <c r="AF397" i="1"/>
  <c r="AC397" i="1"/>
  <c r="T397" i="1" s="1"/>
  <c r="AB397" i="1"/>
  <c r="Y397" i="1"/>
  <c r="AA397" i="1" s="1"/>
  <c r="W397" i="1"/>
  <c r="X397" i="1" s="1"/>
  <c r="H397" i="1"/>
  <c r="I397" i="1" s="1"/>
  <c r="C397" i="1"/>
  <c r="AF396" i="1"/>
  <c r="AC396" i="1"/>
  <c r="T396" i="1" s="1"/>
  <c r="AB396" i="1"/>
  <c r="Y396" i="1"/>
  <c r="AA396" i="1" s="1"/>
  <c r="W396" i="1"/>
  <c r="X396" i="1" s="1"/>
  <c r="H396" i="1"/>
  <c r="I396" i="1" s="1"/>
  <c r="C396" i="1"/>
  <c r="AF395" i="1"/>
  <c r="AC395" i="1"/>
  <c r="T395" i="1" s="1"/>
  <c r="AB395" i="1"/>
  <c r="Y395" i="1"/>
  <c r="AA395" i="1" s="1"/>
  <c r="W395" i="1"/>
  <c r="X395" i="1" s="1"/>
  <c r="H395" i="1"/>
  <c r="I395" i="1" s="1"/>
  <c r="C395" i="1"/>
  <c r="AF394" i="1"/>
  <c r="Y394" i="1"/>
  <c r="AA394" i="1" s="1"/>
  <c r="H394" i="1"/>
  <c r="I394" i="1" s="1"/>
  <c r="C394" i="1"/>
  <c r="AF393" i="1"/>
  <c r="Y393" i="1"/>
  <c r="AA393" i="1" s="1"/>
  <c r="H393" i="1"/>
  <c r="I393" i="1" s="1"/>
  <c r="C393" i="1"/>
  <c r="AF392" i="1"/>
  <c r="AC392" i="1"/>
  <c r="T392" i="1" s="1"/>
  <c r="AB392" i="1"/>
  <c r="Y392" i="1"/>
  <c r="AA392" i="1" s="1"/>
  <c r="W392" i="1"/>
  <c r="X392" i="1" s="1"/>
  <c r="H392" i="1"/>
  <c r="I392" i="1" s="1"/>
  <c r="C392" i="1"/>
  <c r="AF391" i="1"/>
  <c r="Y391" i="1"/>
  <c r="AA391" i="1" s="1"/>
  <c r="H391" i="1"/>
  <c r="I391" i="1" s="1"/>
  <c r="C391" i="1"/>
  <c r="AF390" i="1"/>
  <c r="Y390" i="1"/>
  <c r="AA390" i="1" s="1"/>
  <c r="H390" i="1"/>
  <c r="I390" i="1" s="1"/>
  <c r="C390" i="1"/>
  <c r="AF389" i="1"/>
  <c r="Y389" i="1"/>
  <c r="AA389" i="1" s="1"/>
  <c r="H389" i="1"/>
  <c r="I389" i="1" s="1"/>
  <c r="C389" i="1"/>
  <c r="AF388" i="1"/>
  <c r="Y388" i="1"/>
  <c r="AA388" i="1" s="1"/>
  <c r="H388" i="1"/>
  <c r="I388" i="1" s="1"/>
  <c r="C388" i="1"/>
  <c r="AF387" i="1"/>
  <c r="Y387" i="1"/>
  <c r="AA387" i="1" s="1"/>
  <c r="H387" i="1"/>
  <c r="I387" i="1" s="1"/>
  <c r="C387" i="1"/>
  <c r="AF386" i="1"/>
  <c r="Y386" i="1"/>
  <c r="AA386" i="1" s="1"/>
  <c r="H386" i="1"/>
  <c r="I386" i="1" s="1"/>
  <c r="C386" i="1"/>
  <c r="B386" i="1"/>
  <c r="G386" i="1" s="1"/>
  <c r="A386" i="1" s="1"/>
  <c r="AD386" i="1" s="1"/>
  <c r="AF385" i="1"/>
  <c r="Y385" i="1"/>
  <c r="AA385" i="1" s="1"/>
  <c r="H385" i="1"/>
  <c r="I385" i="1" s="1"/>
  <c r="C385" i="1"/>
  <c r="AF384" i="1"/>
  <c r="AC384" i="1"/>
  <c r="T384" i="1" s="1"/>
  <c r="AB384" i="1"/>
  <c r="Y384" i="1"/>
  <c r="AA384" i="1" s="1"/>
  <c r="W384" i="1"/>
  <c r="X384" i="1" s="1"/>
  <c r="H384" i="1"/>
  <c r="I384" i="1" s="1"/>
  <c r="C384" i="1"/>
  <c r="AF383" i="1"/>
  <c r="Y383" i="1"/>
  <c r="AA383" i="1" s="1"/>
  <c r="H383" i="1"/>
  <c r="I383" i="1" s="1"/>
  <c r="C383" i="1"/>
  <c r="AF382" i="1"/>
  <c r="Y382" i="1"/>
  <c r="AA382" i="1" s="1"/>
  <c r="H382" i="1"/>
  <c r="I382" i="1" s="1"/>
  <c r="C382" i="1"/>
  <c r="AF381" i="1"/>
  <c r="AC381" i="1"/>
  <c r="T381" i="1" s="1"/>
  <c r="AB381" i="1"/>
  <c r="Y381" i="1"/>
  <c r="AA381" i="1" s="1"/>
  <c r="W381" i="1"/>
  <c r="X381" i="1" s="1"/>
  <c r="H381" i="1"/>
  <c r="I381" i="1" s="1"/>
  <c r="C381" i="1"/>
  <c r="AF380" i="1"/>
  <c r="Y380" i="1"/>
  <c r="AA380" i="1" s="1"/>
  <c r="H380" i="1"/>
  <c r="I380" i="1" s="1"/>
  <c r="C380" i="1"/>
  <c r="AF379" i="1"/>
  <c r="AC379" i="1"/>
  <c r="T379" i="1" s="1"/>
  <c r="AB379" i="1"/>
  <c r="Y379" i="1"/>
  <c r="AA379" i="1" s="1"/>
  <c r="W379" i="1"/>
  <c r="X379" i="1" s="1"/>
  <c r="H379" i="1"/>
  <c r="I379" i="1" s="1"/>
  <c r="C379" i="1"/>
  <c r="AF378" i="1"/>
  <c r="Y378" i="1"/>
  <c r="AA378" i="1" s="1"/>
  <c r="H378" i="1"/>
  <c r="I378" i="1" s="1"/>
  <c r="C378" i="1"/>
  <c r="AF377" i="1"/>
  <c r="AC377" i="1"/>
  <c r="T377" i="1" s="1"/>
  <c r="AB377" i="1"/>
  <c r="Y377" i="1"/>
  <c r="AA377" i="1" s="1"/>
  <c r="W377" i="1"/>
  <c r="X377" i="1" s="1"/>
  <c r="H377" i="1"/>
  <c r="I377" i="1" s="1"/>
  <c r="C377" i="1"/>
  <c r="AF376" i="1"/>
  <c r="Y376" i="1"/>
  <c r="AA376" i="1" s="1"/>
  <c r="H376" i="1"/>
  <c r="I376" i="1" s="1"/>
  <c r="C376" i="1"/>
  <c r="AF375" i="1"/>
  <c r="AC375" i="1"/>
  <c r="T375" i="1" s="1"/>
  <c r="AB375" i="1"/>
  <c r="Y375" i="1"/>
  <c r="AA375" i="1" s="1"/>
  <c r="W375" i="1"/>
  <c r="X375" i="1" s="1"/>
  <c r="H375" i="1"/>
  <c r="I375" i="1" s="1"/>
  <c r="C375" i="1"/>
  <c r="AF374" i="1"/>
  <c r="Y374" i="1"/>
  <c r="AA374" i="1" s="1"/>
  <c r="H374" i="1"/>
  <c r="I374" i="1" s="1"/>
  <c r="C374" i="1"/>
  <c r="AF373" i="1"/>
  <c r="Y373" i="1"/>
  <c r="AA373" i="1" s="1"/>
  <c r="H373" i="1"/>
  <c r="I373" i="1" s="1"/>
  <c r="C373" i="1"/>
  <c r="AF372" i="1"/>
  <c r="AC372" i="1"/>
  <c r="T372" i="1" s="1"/>
  <c r="AB372" i="1"/>
  <c r="Y372" i="1"/>
  <c r="AA372" i="1" s="1"/>
  <c r="W372" i="1"/>
  <c r="X372" i="1" s="1"/>
  <c r="H372" i="1"/>
  <c r="I372" i="1" s="1"/>
  <c r="C372" i="1"/>
  <c r="AF371" i="1"/>
  <c r="Y371" i="1"/>
  <c r="H371" i="1"/>
  <c r="I371" i="1" s="1"/>
  <c r="C371" i="1"/>
  <c r="AF370" i="1"/>
  <c r="Y370" i="1"/>
  <c r="AA370" i="1" s="1"/>
  <c r="H370" i="1"/>
  <c r="I370" i="1" s="1"/>
  <c r="C370" i="1"/>
  <c r="AF369" i="1"/>
  <c r="Y369" i="1"/>
  <c r="AA369" i="1" s="1"/>
  <c r="H369" i="1"/>
  <c r="I369" i="1" s="1"/>
  <c r="C369" i="1"/>
  <c r="AF368" i="1"/>
  <c r="AC368" i="1"/>
  <c r="T368" i="1" s="1"/>
  <c r="AB368" i="1"/>
  <c r="Y368" i="1"/>
  <c r="AA368" i="1" s="1"/>
  <c r="W368" i="1"/>
  <c r="X368" i="1" s="1"/>
  <c r="H368" i="1"/>
  <c r="I368" i="1" s="1"/>
  <c r="C368" i="1"/>
  <c r="AF367" i="1"/>
  <c r="Y367" i="1"/>
  <c r="AA367" i="1" s="1"/>
  <c r="H367" i="1"/>
  <c r="I367" i="1" s="1"/>
  <c r="C367" i="1"/>
  <c r="AF366" i="1"/>
  <c r="Y366" i="1"/>
  <c r="AA366" i="1" s="1"/>
  <c r="H366" i="1"/>
  <c r="I366" i="1" s="1"/>
  <c r="C366" i="1"/>
  <c r="AF364" i="1"/>
  <c r="Y364" i="1"/>
  <c r="AA364" i="1" s="1"/>
  <c r="H364" i="1"/>
  <c r="I364" i="1" s="1"/>
  <c r="C364" i="1"/>
  <c r="AF363" i="1"/>
  <c r="Y363" i="1"/>
  <c r="H363" i="1"/>
  <c r="I363" i="1" s="1"/>
  <c r="C363" i="1"/>
  <c r="AF362" i="1"/>
  <c r="Y362" i="1"/>
  <c r="H362" i="1"/>
  <c r="I362" i="1" s="1"/>
  <c r="C362" i="1"/>
  <c r="AF361" i="1"/>
  <c r="Y361" i="1"/>
  <c r="H361" i="1"/>
  <c r="I361" i="1" s="1"/>
  <c r="C361" i="1"/>
  <c r="AF359" i="1"/>
  <c r="Y359" i="1"/>
  <c r="AA359" i="1" s="1"/>
  <c r="H359" i="1"/>
  <c r="I359" i="1" s="1"/>
  <c r="C359" i="1"/>
  <c r="AF358" i="1"/>
  <c r="Y358" i="1"/>
  <c r="AA358" i="1" s="1"/>
  <c r="H358" i="1"/>
  <c r="I358" i="1" s="1"/>
  <c r="C358" i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AF356" i="1"/>
  <c r="Y356" i="1"/>
  <c r="AA356" i="1" s="1"/>
  <c r="H356" i="1"/>
  <c r="I356" i="1" s="1"/>
  <c r="C356" i="1"/>
  <c r="AF355" i="1"/>
  <c r="Y355" i="1"/>
  <c r="AA355" i="1" s="1"/>
  <c r="H355" i="1"/>
  <c r="I355" i="1" s="1"/>
  <c r="C355" i="1"/>
  <c r="AF354" i="1"/>
  <c r="Y354" i="1"/>
  <c r="AA354" i="1" s="1"/>
  <c r="H354" i="1"/>
  <c r="I354" i="1" s="1"/>
  <c r="C354" i="1"/>
  <c r="AF353" i="1"/>
  <c r="Y353" i="1"/>
  <c r="AA353" i="1" s="1"/>
  <c r="H353" i="1"/>
  <c r="I353" i="1" s="1"/>
  <c r="C353" i="1"/>
  <c r="AF352" i="1"/>
  <c r="Y352" i="1"/>
  <c r="AA352" i="1" s="1"/>
  <c r="H352" i="1"/>
  <c r="I352" i="1" s="1"/>
  <c r="C352" i="1"/>
  <c r="AF351" i="1"/>
  <c r="Y351" i="1"/>
  <c r="AA351" i="1" s="1"/>
  <c r="H351" i="1"/>
  <c r="I351" i="1" s="1"/>
  <c r="C351" i="1"/>
  <c r="AF350" i="1"/>
  <c r="Y350" i="1"/>
  <c r="AA350" i="1" s="1"/>
  <c r="H350" i="1"/>
  <c r="I350" i="1" s="1"/>
  <c r="C350" i="1"/>
  <c r="AF349" i="1"/>
  <c r="Y349" i="1"/>
  <c r="AA349" i="1" s="1"/>
  <c r="H349" i="1"/>
  <c r="I349" i="1" s="1"/>
  <c r="C349" i="1"/>
  <c r="AF348" i="1"/>
  <c r="Y348" i="1"/>
  <c r="AA348" i="1" s="1"/>
  <c r="H348" i="1"/>
  <c r="I348" i="1" s="1"/>
  <c r="C348" i="1"/>
  <c r="AF347" i="1"/>
  <c r="Y347" i="1"/>
  <c r="AA347" i="1" s="1"/>
  <c r="H347" i="1"/>
  <c r="I347" i="1" s="1"/>
  <c r="C347" i="1"/>
  <c r="AF346" i="1"/>
  <c r="Y346" i="1"/>
  <c r="AA346" i="1" s="1"/>
  <c r="H346" i="1"/>
  <c r="I346" i="1" s="1"/>
  <c r="C346" i="1"/>
  <c r="AF345" i="1"/>
  <c r="Y345" i="1"/>
  <c r="AA345" i="1" s="1"/>
  <c r="H345" i="1"/>
  <c r="I345" i="1" s="1"/>
  <c r="C345" i="1"/>
  <c r="AF344" i="1"/>
  <c r="Y344" i="1"/>
  <c r="AA344" i="1" s="1"/>
  <c r="H344" i="1"/>
  <c r="I344" i="1" s="1"/>
  <c r="C344" i="1"/>
  <c r="AF343" i="1"/>
  <c r="Y343" i="1"/>
  <c r="AA343" i="1" s="1"/>
  <c r="H343" i="1"/>
  <c r="I343" i="1" s="1"/>
  <c r="C343" i="1"/>
  <c r="AF342" i="1"/>
  <c r="Y342" i="1"/>
  <c r="Z342" i="1" s="1"/>
  <c r="H342" i="1"/>
  <c r="I342" i="1" s="1"/>
  <c r="C342" i="1"/>
  <c r="AF341" i="1"/>
  <c r="Y341" i="1"/>
  <c r="Z341" i="1" s="1"/>
  <c r="H341" i="1"/>
  <c r="I341" i="1" s="1"/>
  <c r="C341" i="1"/>
  <c r="AF340" i="1"/>
  <c r="Y340" i="1"/>
  <c r="AA340" i="1" s="1"/>
  <c r="H340" i="1"/>
  <c r="I340" i="1" s="1"/>
  <c r="C340" i="1"/>
  <c r="AF339" i="1"/>
  <c r="Y339" i="1"/>
  <c r="Z339" i="1" s="1"/>
  <c r="H339" i="1"/>
  <c r="I339" i="1" s="1"/>
  <c r="C339" i="1"/>
  <c r="AF338" i="1"/>
  <c r="Y338" i="1"/>
  <c r="Z338" i="1" s="1"/>
  <c r="H338" i="1"/>
  <c r="I338" i="1" s="1"/>
  <c r="C338" i="1"/>
  <c r="AF337" i="1"/>
  <c r="Y337" i="1"/>
  <c r="Z337" i="1" s="1"/>
  <c r="H337" i="1"/>
  <c r="I337" i="1" s="1"/>
  <c r="C337" i="1"/>
  <c r="AF336" i="1"/>
  <c r="Y336" i="1"/>
  <c r="AA336" i="1" s="1"/>
  <c r="H336" i="1"/>
  <c r="I336" i="1" s="1"/>
  <c r="C336" i="1"/>
  <c r="AF335" i="1"/>
  <c r="Y335" i="1"/>
  <c r="Z335" i="1" s="1"/>
  <c r="H335" i="1"/>
  <c r="I335" i="1" s="1"/>
  <c r="C335" i="1"/>
  <c r="AF334" i="1"/>
  <c r="Y334" i="1"/>
  <c r="Z334" i="1" s="1"/>
  <c r="H334" i="1"/>
  <c r="I334" i="1" s="1"/>
  <c r="C334" i="1"/>
  <c r="AF333" i="1"/>
  <c r="Y333" i="1"/>
  <c r="Z333" i="1" s="1"/>
  <c r="H333" i="1"/>
  <c r="I333" i="1" s="1"/>
  <c r="C333" i="1"/>
  <c r="AF332" i="1"/>
  <c r="Y332" i="1"/>
  <c r="Z332" i="1" s="1"/>
  <c r="H332" i="1"/>
  <c r="I332" i="1" s="1"/>
  <c r="C332" i="1"/>
  <c r="AF331" i="1"/>
  <c r="Y331" i="1"/>
  <c r="Z331" i="1" s="1"/>
  <c r="H331" i="1"/>
  <c r="I331" i="1" s="1"/>
  <c r="C331" i="1"/>
  <c r="AF330" i="1"/>
  <c r="Y330" i="1"/>
  <c r="Z330" i="1" s="1"/>
  <c r="H330" i="1"/>
  <c r="I330" i="1" s="1"/>
  <c r="C330" i="1"/>
  <c r="AF329" i="1"/>
  <c r="Y329" i="1"/>
  <c r="Z329" i="1" s="1"/>
  <c r="H329" i="1"/>
  <c r="I329" i="1" s="1"/>
  <c r="C329" i="1"/>
  <c r="AF326" i="1"/>
  <c r="Y326" i="1"/>
  <c r="Z326" i="1" s="1"/>
  <c r="H326" i="1"/>
  <c r="I326" i="1" s="1"/>
  <c r="C326" i="1"/>
  <c r="AF325" i="1"/>
  <c r="Y325" i="1"/>
  <c r="Z325" i="1" s="1"/>
  <c r="H325" i="1"/>
  <c r="I325" i="1" s="1"/>
  <c r="C325" i="1"/>
  <c r="AF324" i="1"/>
  <c r="Y324" i="1"/>
  <c r="Z324" i="1" s="1"/>
  <c r="H324" i="1"/>
  <c r="I324" i="1" s="1"/>
  <c r="C324" i="1"/>
  <c r="AF323" i="1"/>
  <c r="Y323" i="1"/>
  <c r="Z323" i="1" s="1"/>
  <c r="H323" i="1"/>
  <c r="I323" i="1" s="1"/>
  <c r="C323" i="1"/>
  <c r="AF322" i="1"/>
  <c r="Y322" i="1"/>
  <c r="Z322" i="1" s="1"/>
  <c r="H322" i="1"/>
  <c r="I322" i="1" s="1"/>
  <c r="C322" i="1"/>
  <c r="AF321" i="1"/>
  <c r="Y321" i="1"/>
  <c r="Z321" i="1" s="1"/>
  <c r="H321" i="1"/>
  <c r="I321" i="1" s="1"/>
  <c r="C321" i="1"/>
  <c r="AF320" i="1"/>
  <c r="Y320" i="1"/>
  <c r="Z320" i="1" s="1"/>
  <c r="H320" i="1"/>
  <c r="I320" i="1" s="1"/>
  <c r="C320" i="1"/>
  <c r="AF319" i="1"/>
  <c r="Y319" i="1"/>
  <c r="Z319" i="1" s="1"/>
  <c r="H319" i="1"/>
  <c r="I319" i="1" s="1"/>
  <c r="C319" i="1"/>
  <c r="AF318" i="1"/>
  <c r="Y318" i="1"/>
  <c r="Z318" i="1" s="1"/>
  <c r="H318" i="1"/>
  <c r="I318" i="1" s="1"/>
  <c r="C318" i="1"/>
  <c r="AF317" i="1"/>
  <c r="Y317" i="1"/>
  <c r="Z317" i="1" s="1"/>
  <c r="H317" i="1"/>
  <c r="I317" i="1" s="1"/>
  <c r="C317" i="1"/>
  <c r="AF316" i="1"/>
  <c r="Y316" i="1"/>
  <c r="AA316" i="1" s="1"/>
  <c r="H316" i="1"/>
  <c r="I316" i="1" s="1"/>
  <c r="C316" i="1"/>
  <c r="AF315" i="1"/>
  <c r="Y315" i="1"/>
  <c r="Z315" i="1" s="1"/>
  <c r="H315" i="1"/>
  <c r="I315" i="1" s="1"/>
  <c r="C315" i="1"/>
  <c r="AF314" i="1"/>
  <c r="Y314" i="1"/>
  <c r="H314" i="1"/>
  <c r="I314" i="1" s="1"/>
  <c r="C314" i="1"/>
  <c r="AF313" i="1"/>
  <c r="Y313" i="1"/>
  <c r="Z313" i="1" s="1"/>
  <c r="H313" i="1"/>
  <c r="I313" i="1" s="1"/>
  <c r="C313" i="1"/>
  <c r="AF312" i="1"/>
  <c r="Y312" i="1"/>
  <c r="H312" i="1"/>
  <c r="I312" i="1" s="1"/>
  <c r="C312" i="1"/>
  <c r="AF311" i="1"/>
  <c r="Y311" i="1"/>
  <c r="Z311" i="1" s="1"/>
  <c r="H311" i="1"/>
  <c r="I311" i="1" s="1"/>
  <c r="C311" i="1"/>
  <c r="AF310" i="1"/>
  <c r="Y310" i="1"/>
  <c r="Z310" i="1" s="1"/>
  <c r="H310" i="1"/>
  <c r="I310" i="1" s="1"/>
  <c r="C310" i="1"/>
  <c r="AF309" i="1"/>
  <c r="Y309" i="1"/>
  <c r="Z309" i="1" s="1"/>
  <c r="H309" i="1"/>
  <c r="I309" i="1" s="1"/>
  <c r="C309" i="1"/>
  <c r="AF308" i="1"/>
  <c r="Y308" i="1"/>
  <c r="Z308" i="1" s="1"/>
  <c r="H308" i="1"/>
  <c r="I308" i="1" s="1"/>
  <c r="C308" i="1"/>
  <c r="AF307" i="1"/>
  <c r="Y307" i="1"/>
  <c r="Z307" i="1" s="1"/>
  <c r="H307" i="1"/>
  <c r="I307" i="1" s="1"/>
  <c r="C307" i="1"/>
  <c r="AF306" i="1"/>
  <c r="Y306" i="1"/>
  <c r="Z306" i="1" s="1"/>
  <c r="H306" i="1"/>
  <c r="I306" i="1" s="1"/>
  <c r="C306" i="1"/>
  <c r="AF305" i="1"/>
  <c r="Y305" i="1"/>
  <c r="Z305" i="1" s="1"/>
  <c r="H305" i="1"/>
  <c r="I305" i="1" s="1"/>
  <c r="C305" i="1"/>
  <c r="AF304" i="1"/>
  <c r="Y304" i="1"/>
  <c r="Z304" i="1" s="1"/>
  <c r="H304" i="1"/>
  <c r="I304" i="1" s="1"/>
  <c r="C304" i="1"/>
  <c r="AF303" i="1"/>
  <c r="AC303" i="1"/>
  <c r="T303" i="1" s="1"/>
  <c r="AB303" i="1"/>
  <c r="Y303" i="1"/>
  <c r="Z303" i="1" s="1"/>
  <c r="W303" i="1"/>
  <c r="X303" i="1" s="1"/>
  <c r="H303" i="1"/>
  <c r="I303" i="1" s="1"/>
  <c r="C303" i="1"/>
  <c r="AF302" i="1"/>
  <c r="Y302" i="1"/>
  <c r="Z302" i="1" s="1"/>
  <c r="H302" i="1"/>
  <c r="I302" i="1" s="1"/>
  <c r="C302" i="1"/>
  <c r="AF301" i="1"/>
  <c r="Y301" i="1"/>
  <c r="Z301" i="1" s="1"/>
  <c r="H301" i="1"/>
  <c r="I301" i="1" s="1"/>
  <c r="C301" i="1"/>
  <c r="AF300" i="1"/>
  <c r="Y300" i="1"/>
  <c r="Z300" i="1" s="1"/>
  <c r="H300" i="1"/>
  <c r="I300" i="1" s="1"/>
  <c r="C300" i="1"/>
  <c r="AF299" i="1"/>
  <c r="Y299" i="1"/>
  <c r="Z299" i="1" s="1"/>
  <c r="H299" i="1"/>
  <c r="I299" i="1" s="1"/>
  <c r="C299" i="1"/>
  <c r="AF298" i="1"/>
  <c r="Y298" i="1"/>
  <c r="Z298" i="1" s="1"/>
  <c r="H298" i="1"/>
  <c r="I298" i="1" s="1"/>
  <c r="C298" i="1"/>
  <c r="AF297" i="1"/>
  <c r="Y297" i="1"/>
  <c r="Z297" i="1" s="1"/>
  <c r="H297" i="1"/>
  <c r="I297" i="1" s="1"/>
  <c r="C297" i="1"/>
  <c r="AF296" i="1"/>
  <c r="Y296" i="1"/>
  <c r="Z296" i="1" s="1"/>
  <c r="H296" i="1"/>
  <c r="I296" i="1" s="1"/>
  <c r="C296" i="1"/>
  <c r="AF295" i="1"/>
  <c r="Y295" i="1"/>
  <c r="Z295" i="1" s="1"/>
  <c r="H295" i="1"/>
  <c r="I295" i="1" s="1"/>
  <c r="C295" i="1"/>
  <c r="AF294" i="1"/>
  <c r="Y294" i="1"/>
  <c r="Z294" i="1" s="1"/>
  <c r="H294" i="1"/>
  <c r="I294" i="1" s="1"/>
  <c r="C294" i="1"/>
  <c r="AF293" i="1"/>
  <c r="Y293" i="1"/>
  <c r="Z293" i="1" s="1"/>
  <c r="H293" i="1"/>
  <c r="I293" i="1" s="1"/>
  <c r="C293" i="1"/>
  <c r="AF292" i="1"/>
  <c r="Y292" i="1"/>
  <c r="Z292" i="1" s="1"/>
  <c r="H292" i="1"/>
  <c r="I292" i="1" s="1"/>
  <c r="C292" i="1"/>
  <c r="AF291" i="1"/>
  <c r="Y291" i="1"/>
  <c r="Z291" i="1" s="1"/>
  <c r="H291" i="1"/>
  <c r="I291" i="1" s="1"/>
  <c r="C291" i="1"/>
  <c r="AF290" i="1"/>
  <c r="Y290" i="1"/>
  <c r="Z290" i="1" s="1"/>
  <c r="H290" i="1"/>
  <c r="I290" i="1" s="1"/>
  <c r="C290" i="1"/>
  <c r="AF289" i="1"/>
  <c r="Y289" i="1"/>
  <c r="Z289" i="1" s="1"/>
  <c r="H289" i="1"/>
  <c r="I289" i="1" s="1"/>
  <c r="C289" i="1"/>
  <c r="AF288" i="1"/>
  <c r="Y288" i="1"/>
  <c r="Z288" i="1" s="1"/>
  <c r="H288" i="1"/>
  <c r="I288" i="1" s="1"/>
  <c r="C288" i="1"/>
  <c r="AF287" i="1"/>
  <c r="Y287" i="1"/>
  <c r="Z287" i="1" s="1"/>
  <c r="H287" i="1"/>
  <c r="I287" i="1" s="1"/>
  <c r="C287" i="1"/>
  <c r="AF286" i="1"/>
  <c r="Y286" i="1"/>
  <c r="Z286" i="1" s="1"/>
  <c r="H286" i="1"/>
  <c r="I286" i="1" s="1"/>
  <c r="C286" i="1"/>
  <c r="AF285" i="1"/>
  <c r="Y285" i="1"/>
  <c r="Z285" i="1" s="1"/>
  <c r="H285" i="1"/>
  <c r="I285" i="1" s="1"/>
  <c r="C285" i="1"/>
  <c r="AF284" i="1"/>
  <c r="Y284" i="1"/>
  <c r="Z284" i="1" s="1"/>
  <c r="H284" i="1"/>
  <c r="I284" i="1" s="1"/>
  <c r="C284" i="1"/>
  <c r="AF283" i="1"/>
  <c r="Y283" i="1"/>
  <c r="Z283" i="1" s="1"/>
  <c r="H283" i="1"/>
  <c r="I283" i="1" s="1"/>
  <c r="C283" i="1"/>
  <c r="AF282" i="1"/>
  <c r="Y282" i="1"/>
  <c r="Z282" i="1" s="1"/>
  <c r="H282" i="1"/>
  <c r="I282" i="1" s="1"/>
  <c r="C282" i="1"/>
  <c r="AF281" i="1"/>
  <c r="Y281" i="1"/>
  <c r="Z281" i="1" s="1"/>
  <c r="H281" i="1"/>
  <c r="I281" i="1" s="1"/>
  <c r="C281" i="1"/>
  <c r="AF280" i="1"/>
  <c r="Y280" i="1"/>
  <c r="Z280" i="1" s="1"/>
  <c r="H280" i="1"/>
  <c r="I280" i="1" s="1"/>
  <c r="C280" i="1"/>
  <c r="AF279" i="1"/>
  <c r="Y279" i="1"/>
  <c r="Z279" i="1" s="1"/>
  <c r="H279" i="1"/>
  <c r="I279" i="1" s="1"/>
  <c r="C279" i="1"/>
  <c r="AF278" i="1"/>
  <c r="Y278" i="1"/>
  <c r="Z278" i="1" s="1"/>
  <c r="H278" i="1"/>
  <c r="I278" i="1" s="1"/>
  <c r="C278" i="1"/>
  <c r="AF277" i="1"/>
  <c r="Y277" i="1"/>
  <c r="Z277" i="1" s="1"/>
  <c r="H277" i="1"/>
  <c r="I277" i="1" s="1"/>
  <c r="C277" i="1"/>
  <c r="AF276" i="1"/>
  <c r="Y276" i="1"/>
  <c r="Z276" i="1" s="1"/>
  <c r="H276" i="1"/>
  <c r="I276" i="1" s="1"/>
  <c r="C276" i="1"/>
  <c r="AF275" i="1"/>
  <c r="Y275" i="1"/>
  <c r="Z275" i="1" s="1"/>
  <c r="H275" i="1"/>
  <c r="I275" i="1" s="1"/>
  <c r="C275" i="1"/>
  <c r="AF274" i="1"/>
  <c r="Y274" i="1"/>
  <c r="Z274" i="1" s="1"/>
  <c r="H274" i="1"/>
  <c r="I274" i="1" s="1"/>
  <c r="C274" i="1"/>
  <c r="AF273" i="1"/>
  <c r="Y273" i="1"/>
  <c r="Z273" i="1" s="1"/>
  <c r="H273" i="1"/>
  <c r="I273" i="1" s="1"/>
  <c r="C273" i="1"/>
  <c r="AF272" i="1"/>
  <c r="Y272" i="1"/>
  <c r="Z272" i="1" s="1"/>
  <c r="H272" i="1"/>
  <c r="I272" i="1" s="1"/>
  <c r="C272" i="1"/>
  <c r="AF271" i="1"/>
  <c r="Y271" i="1"/>
  <c r="Z271" i="1" s="1"/>
  <c r="H271" i="1"/>
  <c r="I271" i="1" s="1"/>
  <c r="C271" i="1"/>
  <c r="AF270" i="1"/>
  <c r="AC270" i="1"/>
  <c r="T270" i="1" s="1"/>
  <c r="AB270" i="1"/>
  <c r="Y270" i="1"/>
  <c r="AA270" i="1" s="1"/>
  <c r="W270" i="1"/>
  <c r="X270" i="1" s="1"/>
  <c r="H270" i="1"/>
  <c r="I270" i="1" s="1"/>
  <c r="C270" i="1"/>
  <c r="AF269" i="1"/>
  <c r="Y269" i="1"/>
  <c r="Z269" i="1" s="1"/>
  <c r="H269" i="1"/>
  <c r="I269" i="1" s="1"/>
  <c r="C269" i="1"/>
  <c r="AF268" i="1"/>
  <c r="Y268" i="1"/>
  <c r="AA268" i="1" s="1"/>
  <c r="H268" i="1"/>
  <c r="I268" i="1" s="1"/>
  <c r="C268" i="1"/>
  <c r="AF267" i="1"/>
  <c r="Y267" i="1"/>
  <c r="AA267" i="1" s="1"/>
  <c r="H267" i="1"/>
  <c r="I267" i="1" s="1"/>
  <c r="C267" i="1"/>
  <c r="AH266" i="1"/>
  <c r="AF266" i="1"/>
  <c r="Y266" i="1"/>
  <c r="Z266" i="1" s="1"/>
  <c r="H266" i="1"/>
  <c r="I266" i="1" s="1"/>
  <c r="C266" i="1"/>
  <c r="AF265" i="1"/>
  <c r="Y265" i="1"/>
  <c r="H265" i="1"/>
  <c r="I265" i="1" s="1"/>
  <c r="C265" i="1"/>
  <c r="AF264" i="1"/>
  <c r="AC264" i="1"/>
  <c r="T264" i="1" s="1"/>
  <c r="AB264" i="1"/>
  <c r="Y264" i="1"/>
  <c r="AA264" i="1" s="1"/>
  <c r="W264" i="1"/>
  <c r="X264" i="1" s="1"/>
  <c r="H264" i="1"/>
  <c r="I264" i="1" s="1"/>
  <c r="C264" i="1"/>
  <c r="AF263" i="1"/>
  <c r="Y263" i="1"/>
  <c r="H263" i="1"/>
  <c r="I263" i="1" s="1"/>
  <c r="C263" i="1"/>
  <c r="AF262" i="1"/>
  <c r="Y262" i="1"/>
  <c r="Z262" i="1" s="1"/>
  <c r="H262" i="1"/>
  <c r="I262" i="1" s="1"/>
  <c r="C262" i="1"/>
  <c r="AF261" i="1"/>
  <c r="Y261" i="1"/>
  <c r="H261" i="1"/>
  <c r="I261" i="1" s="1"/>
  <c r="C261" i="1"/>
  <c r="AF260" i="1"/>
  <c r="Y260" i="1"/>
  <c r="Z260" i="1" s="1"/>
  <c r="H260" i="1"/>
  <c r="I260" i="1" s="1"/>
  <c r="C260" i="1"/>
  <c r="AF259" i="1"/>
  <c r="Y259" i="1"/>
  <c r="H259" i="1"/>
  <c r="I259" i="1" s="1"/>
  <c r="C259" i="1"/>
  <c r="AF258" i="1"/>
  <c r="Y258" i="1"/>
  <c r="Z258" i="1" s="1"/>
  <c r="H258" i="1"/>
  <c r="I258" i="1" s="1"/>
  <c r="C258" i="1"/>
  <c r="AF257" i="1"/>
  <c r="Y257" i="1"/>
  <c r="H257" i="1"/>
  <c r="I257" i="1" s="1"/>
  <c r="C257" i="1"/>
  <c r="AF256" i="1"/>
  <c r="Y256" i="1"/>
  <c r="Z256" i="1" s="1"/>
  <c r="H256" i="1"/>
  <c r="I256" i="1" s="1"/>
  <c r="C256" i="1"/>
  <c r="AF255" i="1"/>
  <c r="Y255" i="1"/>
  <c r="Z255" i="1" s="1"/>
  <c r="H255" i="1"/>
  <c r="I255" i="1" s="1"/>
  <c r="C255" i="1"/>
  <c r="AF254" i="1"/>
  <c r="Y254" i="1"/>
  <c r="Z254" i="1" s="1"/>
  <c r="H254" i="1"/>
  <c r="I254" i="1" s="1"/>
  <c r="C254" i="1"/>
  <c r="AF253" i="1"/>
  <c r="Y253" i="1"/>
  <c r="Z253" i="1" s="1"/>
  <c r="H253" i="1"/>
  <c r="I253" i="1" s="1"/>
  <c r="C253" i="1"/>
  <c r="AF252" i="1"/>
  <c r="Y252" i="1"/>
  <c r="Z252" i="1" s="1"/>
  <c r="H252" i="1"/>
  <c r="I252" i="1" s="1"/>
  <c r="C252" i="1"/>
  <c r="AF251" i="1"/>
  <c r="Y251" i="1"/>
  <c r="Z251" i="1" s="1"/>
  <c r="H251" i="1"/>
  <c r="I251" i="1" s="1"/>
  <c r="C251" i="1"/>
  <c r="AF250" i="1"/>
  <c r="Y250" i="1"/>
  <c r="Z250" i="1" s="1"/>
  <c r="H250" i="1"/>
  <c r="I250" i="1" s="1"/>
  <c r="C250" i="1"/>
  <c r="AF249" i="1"/>
  <c r="Y249" i="1"/>
  <c r="AA249" i="1" s="1"/>
  <c r="H249" i="1"/>
  <c r="I249" i="1" s="1"/>
  <c r="C249" i="1"/>
  <c r="AF248" i="1"/>
  <c r="Y248" i="1"/>
  <c r="Z248" i="1" s="1"/>
  <c r="H248" i="1"/>
  <c r="I248" i="1" s="1"/>
  <c r="C248" i="1"/>
  <c r="AF247" i="1"/>
  <c r="Y247" i="1"/>
  <c r="Z247" i="1" s="1"/>
  <c r="H247" i="1"/>
  <c r="I247" i="1" s="1"/>
  <c r="C247" i="1"/>
  <c r="AF246" i="1"/>
  <c r="Y246" i="1"/>
  <c r="AA246" i="1" s="1"/>
  <c r="H246" i="1"/>
  <c r="I246" i="1" s="1"/>
  <c r="C246" i="1"/>
  <c r="AF245" i="1"/>
  <c r="Y245" i="1"/>
  <c r="H245" i="1"/>
  <c r="I245" i="1" s="1"/>
  <c r="C245" i="1"/>
  <c r="AF244" i="1"/>
  <c r="Y244" i="1"/>
  <c r="Z244" i="1" s="1"/>
  <c r="H244" i="1"/>
  <c r="I244" i="1" s="1"/>
  <c r="C244" i="1"/>
  <c r="AF243" i="1"/>
  <c r="Y243" i="1"/>
  <c r="H243" i="1"/>
  <c r="I243" i="1" s="1"/>
  <c r="C243" i="1"/>
  <c r="AF242" i="1"/>
  <c r="Y242" i="1"/>
  <c r="Z242" i="1" s="1"/>
  <c r="H242" i="1"/>
  <c r="I242" i="1" s="1"/>
  <c r="C242" i="1"/>
  <c r="AF241" i="1"/>
  <c r="Y241" i="1"/>
  <c r="H241" i="1"/>
  <c r="I241" i="1" s="1"/>
  <c r="C241" i="1"/>
  <c r="AF240" i="1"/>
  <c r="Y240" i="1"/>
  <c r="Z240" i="1" s="1"/>
  <c r="H240" i="1"/>
  <c r="I240" i="1" s="1"/>
  <c r="C240" i="1"/>
  <c r="AF236" i="1"/>
  <c r="Y236" i="1"/>
  <c r="AA236" i="1" s="1"/>
  <c r="H236" i="1"/>
  <c r="I236" i="1" s="1"/>
  <c r="C236" i="1"/>
  <c r="AF235" i="1"/>
  <c r="Y235" i="1"/>
  <c r="Z235" i="1" s="1"/>
  <c r="H235" i="1"/>
  <c r="I235" i="1" s="1"/>
  <c r="C235" i="1"/>
  <c r="AF234" i="1"/>
  <c r="Y234" i="1"/>
  <c r="H234" i="1"/>
  <c r="I234" i="1" s="1"/>
  <c r="C234" i="1"/>
  <c r="AF226" i="1"/>
  <c r="Y226" i="1"/>
  <c r="Z226" i="1" s="1"/>
  <c r="H226" i="1"/>
  <c r="I226" i="1" s="1"/>
  <c r="C226" i="1"/>
  <c r="AF225" i="1"/>
  <c r="Y225" i="1"/>
  <c r="H225" i="1"/>
  <c r="I225" i="1" s="1"/>
  <c r="C225" i="1"/>
  <c r="AF204" i="1"/>
  <c r="Y204" i="1"/>
  <c r="AA204" i="1" s="1"/>
  <c r="H204" i="1"/>
  <c r="I204" i="1" s="1"/>
  <c r="C204" i="1"/>
  <c r="AF202" i="1"/>
  <c r="Y202" i="1"/>
  <c r="H202" i="1"/>
  <c r="I202" i="1" s="1"/>
  <c r="C202" i="1"/>
  <c r="AF201" i="1"/>
  <c r="Y201" i="1"/>
  <c r="Z201" i="1" s="1"/>
  <c r="H201" i="1"/>
  <c r="I201" i="1" s="1"/>
  <c r="C201" i="1"/>
  <c r="AF200" i="1"/>
  <c r="AC200" i="1"/>
  <c r="T200" i="1" s="1"/>
  <c r="AB200" i="1"/>
  <c r="Y200" i="1"/>
  <c r="AA200" i="1" s="1"/>
  <c r="W200" i="1"/>
  <c r="X200" i="1" s="1"/>
  <c r="H200" i="1"/>
  <c r="I200" i="1" s="1"/>
  <c r="C200" i="1"/>
  <c r="AF199" i="1"/>
  <c r="Y199" i="1"/>
  <c r="Z199" i="1" s="1"/>
  <c r="H199" i="1"/>
  <c r="I199" i="1" s="1"/>
  <c r="C199" i="1"/>
  <c r="AF198" i="1"/>
  <c r="Y198" i="1"/>
  <c r="H198" i="1"/>
  <c r="I198" i="1" s="1"/>
  <c r="C198" i="1"/>
  <c r="AF197" i="1"/>
  <c r="Y197" i="1"/>
  <c r="Z197" i="1" s="1"/>
  <c r="H197" i="1"/>
  <c r="I197" i="1" s="1"/>
  <c r="C197" i="1"/>
  <c r="AF196" i="1"/>
  <c r="Y196" i="1"/>
  <c r="AA196" i="1" s="1"/>
  <c r="H196" i="1"/>
  <c r="I196" i="1" s="1"/>
  <c r="C196" i="1"/>
  <c r="AF195" i="1"/>
  <c r="Y195" i="1"/>
  <c r="Z195" i="1" s="1"/>
  <c r="H195" i="1"/>
  <c r="I195" i="1" s="1"/>
  <c r="C195" i="1"/>
  <c r="AF194" i="1"/>
  <c r="Y194" i="1"/>
  <c r="H194" i="1"/>
  <c r="I194" i="1" s="1"/>
  <c r="C194" i="1"/>
  <c r="AF193" i="1"/>
  <c r="AC193" i="1"/>
  <c r="T193" i="1" s="1"/>
  <c r="AB193" i="1"/>
  <c r="Y193" i="1"/>
  <c r="AA193" i="1" s="1"/>
  <c r="W193" i="1"/>
  <c r="X193" i="1" s="1"/>
  <c r="H193" i="1"/>
  <c r="I193" i="1" s="1"/>
  <c r="C193" i="1"/>
  <c r="AF70" i="1"/>
  <c r="Y70" i="1"/>
  <c r="AF69" i="1"/>
  <c r="Y69" i="1"/>
  <c r="Z69" i="1" s="1"/>
  <c r="AF67" i="1"/>
  <c r="Y67" i="1"/>
  <c r="Z67" i="1" s="1"/>
  <c r="AF64" i="1"/>
  <c r="Y64" i="1"/>
  <c r="AA64" i="1" s="1"/>
  <c r="AF13" i="1"/>
  <c r="Y13" i="1"/>
  <c r="AF4" i="1"/>
  <c r="Y4" i="1"/>
  <c r="Z4" i="1" s="1"/>
  <c r="H4" i="1"/>
  <c r="C4" i="1"/>
  <c r="A1" i="1"/>
  <c r="B4" i="1"/>
  <c r="J113" i="1" l="1"/>
  <c r="J106" i="1"/>
  <c r="J50" i="1"/>
  <c r="J6" i="1"/>
  <c r="J63" i="1"/>
  <c r="J115" i="1"/>
  <c r="J96" i="1"/>
  <c r="J80" i="1"/>
  <c r="J40" i="1"/>
  <c r="J30" i="1"/>
  <c r="J37" i="1"/>
  <c r="J20" i="1"/>
  <c r="J17" i="1"/>
  <c r="K30" i="5"/>
  <c r="B86" i="5"/>
  <c r="K86" i="5" s="1"/>
  <c r="K48" i="5"/>
  <c r="B87" i="5"/>
  <c r="K87" i="5" s="1"/>
  <c r="K49" i="5"/>
  <c r="B88" i="5"/>
  <c r="K88" i="5" s="1"/>
  <c r="K50" i="5"/>
  <c r="B89" i="5"/>
  <c r="K89" i="5" s="1"/>
  <c r="K51" i="5"/>
  <c r="B90" i="5"/>
  <c r="K90" i="5" s="1"/>
  <c r="K52" i="5"/>
  <c r="B91" i="5"/>
  <c r="K91" i="5" s="1"/>
  <c r="K53" i="5"/>
  <c r="B92" i="5"/>
  <c r="K92" i="5" s="1"/>
  <c r="K54" i="5"/>
  <c r="B93" i="5"/>
  <c r="K93" i="5" s="1"/>
  <c r="K55" i="5"/>
  <c r="B94" i="5"/>
  <c r="K94" i="5" s="1"/>
  <c r="K56" i="5"/>
  <c r="B95" i="5"/>
  <c r="K95" i="5" s="1"/>
  <c r="K57" i="5"/>
  <c r="B96" i="5"/>
  <c r="K96" i="5" s="1"/>
  <c r="K58" i="5"/>
  <c r="B97" i="5"/>
  <c r="K97" i="5" s="1"/>
  <c r="K59" i="5"/>
  <c r="B98" i="5"/>
  <c r="K98" i="5" s="1"/>
  <c r="K60" i="5"/>
  <c r="B99" i="5"/>
  <c r="K99" i="5" s="1"/>
  <c r="K61" i="5"/>
  <c r="B100" i="5"/>
  <c r="K100" i="5" s="1"/>
  <c r="K62" i="5"/>
  <c r="B101" i="5"/>
  <c r="K101" i="5" s="1"/>
  <c r="K63" i="5"/>
  <c r="B383" i="1"/>
  <c r="G383" i="1" s="1"/>
  <c r="A383" i="1" s="1"/>
  <c r="AD383" i="1" s="1"/>
  <c r="B444" i="1"/>
  <c r="G444" i="1" s="1"/>
  <c r="A444" i="1" s="1"/>
  <c r="AD444" i="1" s="1"/>
  <c r="B460" i="1"/>
  <c r="G460" i="1" s="1"/>
  <c r="A460" i="1" s="1"/>
  <c r="AD460" i="1" s="1"/>
  <c r="B484" i="1"/>
  <c r="G484" i="1" s="1"/>
  <c r="A484" i="1" s="1"/>
  <c r="AD484" i="1" s="1"/>
  <c r="B468" i="1"/>
  <c r="G468" i="1" s="1"/>
  <c r="A468" i="1" s="1"/>
  <c r="AD468" i="1" s="1"/>
  <c r="B387" i="1"/>
  <c r="G387" i="1" s="1"/>
  <c r="A387" i="1" s="1"/>
  <c r="AD387" i="1" s="1"/>
  <c r="J88" i="1"/>
  <c r="J111" i="1"/>
  <c r="J198" i="1"/>
  <c r="J108" i="1"/>
  <c r="J91" i="1"/>
  <c r="J140" i="1"/>
  <c r="J4" i="1"/>
  <c r="J226" i="1"/>
  <c r="J10" i="1"/>
  <c r="J55" i="1"/>
  <c r="J28" i="1"/>
  <c r="J38" i="1"/>
  <c r="J306" i="1"/>
  <c r="J114" i="1"/>
  <c r="J84" i="1"/>
  <c r="B398" i="1"/>
  <c r="G398" i="1" s="1"/>
  <c r="A398" i="1" s="1"/>
  <c r="AD398" i="1" s="1"/>
  <c r="B423" i="1"/>
  <c r="G423" i="1" s="1"/>
  <c r="A423" i="1" s="1"/>
  <c r="AD423" i="1" s="1"/>
  <c r="B431" i="1"/>
  <c r="G431" i="1" s="1"/>
  <c r="A431" i="1" s="1"/>
  <c r="AD431" i="1" s="1"/>
  <c r="B434" i="1"/>
  <c r="G434" i="1" s="1"/>
  <c r="A434" i="1" s="1"/>
  <c r="AD434" i="1" s="1"/>
  <c r="B461" i="1"/>
  <c r="G461" i="1" s="1"/>
  <c r="A461" i="1" s="1"/>
  <c r="AD461" i="1" s="1"/>
  <c r="B462" i="1"/>
  <c r="G462" i="1" s="1"/>
  <c r="A462" i="1" s="1"/>
  <c r="AD462" i="1" s="1"/>
  <c r="B511" i="1"/>
  <c r="G511" i="1" s="1"/>
  <c r="A511" i="1" s="1"/>
  <c r="AD511" i="1" s="1"/>
  <c r="B537" i="1"/>
  <c r="G537" i="1" s="1"/>
  <c r="A537" i="1" s="1"/>
  <c r="AD537" i="1" s="1"/>
  <c r="B543" i="1"/>
  <c r="G543" i="1" s="1"/>
  <c r="A543" i="1" s="1"/>
  <c r="AD543" i="1" s="1"/>
  <c r="B424" i="1"/>
  <c r="G424" i="1" s="1"/>
  <c r="A424" i="1" s="1"/>
  <c r="AD424" i="1" s="1"/>
  <c r="B435" i="1"/>
  <c r="G435" i="1" s="1"/>
  <c r="A435" i="1" s="1"/>
  <c r="AD435" i="1" s="1"/>
  <c r="B504" i="1"/>
  <c r="G504" i="1" s="1"/>
  <c r="A504" i="1" s="1"/>
  <c r="AD504" i="1" s="1"/>
  <c r="B505" i="1"/>
  <c r="G505" i="1" s="1"/>
  <c r="A505" i="1" s="1"/>
  <c r="AD505" i="1" s="1"/>
  <c r="B506" i="1"/>
  <c r="G506" i="1" s="1"/>
  <c r="A506" i="1" s="1"/>
  <c r="AD506" i="1" s="1"/>
  <c r="B521" i="1"/>
  <c r="G521" i="1" s="1"/>
  <c r="A521" i="1" s="1"/>
  <c r="AD521" i="1" s="1"/>
  <c r="B522" i="1"/>
  <c r="G522" i="1" s="1"/>
  <c r="A522" i="1" s="1"/>
  <c r="AD522" i="1" s="1"/>
  <c r="B534" i="1"/>
  <c r="G534" i="1" s="1"/>
  <c r="A534" i="1" s="1"/>
  <c r="AD534" i="1" s="1"/>
  <c r="B535" i="1"/>
  <c r="G535" i="1" s="1"/>
  <c r="A535" i="1" s="1"/>
  <c r="AD535" i="1" s="1"/>
  <c r="B541" i="1"/>
  <c r="G541" i="1" s="1"/>
  <c r="A541" i="1" s="1"/>
  <c r="AD541" i="1" s="1"/>
  <c r="B436" i="1"/>
  <c r="G436" i="1" s="1"/>
  <c r="A436" i="1" s="1"/>
  <c r="AD436" i="1" s="1"/>
  <c r="B463" i="1"/>
  <c r="G463" i="1" s="1"/>
  <c r="A463" i="1" s="1"/>
  <c r="AD463" i="1" s="1"/>
  <c r="B456" i="1"/>
  <c r="G456" i="1" s="1"/>
  <c r="A456" i="1" s="1"/>
  <c r="AD456" i="1" s="1"/>
  <c r="B466" i="1"/>
  <c r="G466" i="1" s="1"/>
  <c r="A466" i="1" s="1"/>
  <c r="AD466" i="1" s="1"/>
  <c r="B419" i="1"/>
  <c r="G419" i="1" s="1"/>
  <c r="A419" i="1" s="1"/>
  <c r="AD419" i="1" s="1"/>
  <c r="B422" i="1"/>
  <c r="G422" i="1" s="1"/>
  <c r="A422" i="1" s="1"/>
  <c r="AD422" i="1" s="1"/>
  <c r="B362" i="1"/>
  <c r="G362" i="1" s="1"/>
  <c r="A362" i="1" s="1"/>
  <c r="AD362" i="1" s="1"/>
  <c r="B377" i="1"/>
  <c r="G377" i="1" s="1"/>
  <c r="A377" i="1" s="1"/>
  <c r="AD377" i="1" s="1"/>
  <c r="B428" i="1"/>
  <c r="G428" i="1" s="1"/>
  <c r="A428" i="1" s="1"/>
  <c r="AD428" i="1" s="1"/>
  <c r="B429" i="1"/>
  <c r="G429" i="1" s="1"/>
  <c r="A429" i="1" s="1"/>
  <c r="AD429" i="1" s="1"/>
  <c r="B430" i="1"/>
  <c r="G430" i="1" s="1"/>
  <c r="A430" i="1" s="1"/>
  <c r="AD430" i="1" s="1"/>
  <c r="B446" i="1"/>
  <c r="G446" i="1" s="1"/>
  <c r="A446" i="1" s="1"/>
  <c r="AD446" i="1" s="1"/>
  <c r="B474" i="1"/>
  <c r="G474" i="1" s="1"/>
  <c r="A474" i="1" s="1"/>
  <c r="AD474" i="1" s="1"/>
  <c r="B426" i="1"/>
  <c r="G426" i="1" s="1"/>
  <c r="A426" i="1" s="1"/>
  <c r="AD426" i="1" s="1"/>
  <c r="B388" i="1"/>
  <c r="G388" i="1" s="1"/>
  <c r="A388" i="1" s="1"/>
  <c r="AD388" i="1" s="1"/>
  <c r="B427" i="1"/>
  <c r="G427" i="1" s="1"/>
  <c r="A427" i="1" s="1"/>
  <c r="AD427" i="1" s="1"/>
  <c r="B432" i="1"/>
  <c r="G432" i="1" s="1"/>
  <c r="A432" i="1" s="1"/>
  <c r="AD432" i="1" s="1"/>
  <c r="B433" i="1"/>
  <c r="G433" i="1" s="1"/>
  <c r="A433" i="1" s="1"/>
  <c r="AD433" i="1" s="1"/>
  <c r="B457" i="1"/>
  <c r="G457" i="1" s="1"/>
  <c r="A457" i="1" s="1"/>
  <c r="AD457" i="1" s="1"/>
  <c r="B471" i="1"/>
  <c r="G471" i="1" s="1"/>
  <c r="A471" i="1" s="1"/>
  <c r="AD471" i="1" s="1"/>
  <c r="B486" i="1"/>
  <c r="G486" i="1" s="1"/>
  <c r="A486" i="1" s="1"/>
  <c r="AD486" i="1" s="1"/>
  <c r="B487" i="1"/>
  <c r="G487" i="1" s="1"/>
  <c r="A487" i="1" s="1"/>
  <c r="AD487" i="1" s="1"/>
  <c r="B489" i="1"/>
  <c r="G489" i="1" s="1"/>
  <c r="A489" i="1" s="1"/>
  <c r="AD489" i="1" s="1"/>
  <c r="B494" i="1"/>
  <c r="G494" i="1" s="1"/>
  <c r="A494" i="1" s="1"/>
  <c r="AD494" i="1" s="1"/>
  <c r="B502" i="1"/>
  <c r="G502" i="1" s="1"/>
  <c r="A502" i="1" s="1"/>
  <c r="AD502" i="1" s="1"/>
  <c r="B503" i="1"/>
  <c r="G503" i="1" s="1"/>
  <c r="A503" i="1" s="1"/>
  <c r="AD503" i="1" s="1"/>
  <c r="B523" i="1"/>
  <c r="G523" i="1" s="1"/>
  <c r="A523" i="1" s="1"/>
  <c r="AD523" i="1" s="1"/>
  <c r="B396" i="1"/>
  <c r="G396" i="1" s="1"/>
  <c r="A396" i="1" s="1"/>
  <c r="AD396" i="1" s="1"/>
  <c r="B442" i="1"/>
  <c r="G442" i="1" s="1"/>
  <c r="A442" i="1" s="1"/>
  <c r="AD442" i="1" s="1"/>
  <c r="B482" i="1"/>
  <c r="G482" i="1" s="1"/>
  <c r="A482" i="1" s="1"/>
  <c r="AD482" i="1" s="1"/>
  <c r="B509" i="1"/>
  <c r="G509" i="1" s="1"/>
  <c r="A509" i="1" s="1"/>
  <c r="AD509" i="1" s="1"/>
  <c r="B510" i="1"/>
  <c r="G510" i="1" s="1"/>
  <c r="A510" i="1" s="1"/>
  <c r="AD510" i="1" s="1"/>
  <c r="B513" i="1"/>
  <c r="G513" i="1" s="1"/>
  <c r="A513" i="1" s="1"/>
  <c r="AD513" i="1" s="1"/>
  <c r="B517" i="1"/>
  <c r="G517" i="1" s="1"/>
  <c r="A517" i="1" s="1"/>
  <c r="AD517" i="1" s="1"/>
  <c r="B518" i="1"/>
  <c r="G518" i="1" s="1"/>
  <c r="A518" i="1" s="1"/>
  <c r="AD518" i="1" s="1"/>
  <c r="B519" i="1"/>
  <c r="G519" i="1" s="1"/>
  <c r="A519" i="1" s="1"/>
  <c r="AD519" i="1" s="1"/>
  <c r="B529" i="1"/>
  <c r="G529" i="1" s="1"/>
  <c r="A529" i="1" s="1"/>
  <c r="AD529" i="1" s="1"/>
  <c r="B391" i="1"/>
  <c r="G391" i="1" s="1"/>
  <c r="A391" i="1" s="1"/>
  <c r="AD391" i="1" s="1"/>
  <c r="B420" i="1"/>
  <c r="G420" i="1" s="1"/>
  <c r="A420" i="1" s="1"/>
  <c r="AD420" i="1" s="1"/>
  <c r="B421" i="1"/>
  <c r="G421" i="1" s="1"/>
  <c r="A421" i="1" s="1"/>
  <c r="AD421" i="1" s="1"/>
  <c r="B455" i="1"/>
  <c r="G455" i="1" s="1"/>
  <c r="A455" i="1" s="1"/>
  <c r="AD455" i="1" s="1"/>
  <c r="B255" i="1"/>
  <c r="G255" i="1" s="1"/>
  <c r="A255" i="1" s="1"/>
  <c r="AD255" i="1" s="1"/>
  <c r="B274" i="1"/>
  <c r="G274" i="1" s="1"/>
  <c r="A274" i="1" s="1"/>
  <c r="AD274" i="1" s="1"/>
  <c r="B370" i="1"/>
  <c r="G370" i="1" s="1"/>
  <c r="A370" i="1" s="1"/>
  <c r="AD370" i="1" s="1"/>
  <c r="B299" i="1"/>
  <c r="G299" i="1" s="1"/>
  <c r="A299" i="1" s="1"/>
  <c r="AD299" i="1" s="1"/>
  <c r="B343" i="1"/>
  <c r="G343" i="1" s="1"/>
  <c r="A343" i="1" s="1"/>
  <c r="AD343" i="1" s="1"/>
  <c r="B345" i="1"/>
  <c r="G345" i="1" s="1"/>
  <c r="A345" i="1" s="1"/>
  <c r="AD345" i="1" s="1"/>
  <c r="B305" i="1"/>
  <c r="G305" i="1" s="1"/>
  <c r="A305" i="1" s="1"/>
  <c r="AD305" i="1" s="1"/>
  <c r="B346" i="1"/>
  <c r="G346" i="1" s="1"/>
  <c r="A346" i="1" s="1"/>
  <c r="AD346" i="1" s="1"/>
  <c r="B293" i="1"/>
  <c r="G293" i="1" s="1"/>
  <c r="A293" i="1" s="1"/>
  <c r="AD293" i="1" s="1"/>
  <c r="B245" i="1"/>
  <c r="G245" i="1" s="1"/>
  <c r="A245" i="1" s="1"/>
  <c r="AD245" i="1" s="1"/>
  <c r="B276" i="1"/>
  <c r="G276" i="1" s="1"/>
  <c r="A276" i="1" s="1"/>
  <c r="AD276" i="1" s="1"/>
  <c r="B297" i="1"/>
  <c r="G297" i="1" s="1"/>
  <c r="A297" i="1" s="1"/>
  <c r="AD297" i="1" s="1"/>
  <c r="B355" i="1"/>
  <c r="G355" i="1" s="1"/>
  <c r="A355" i="1" s="1"/>
  <c r="AD355" i="1" s="1"/>
  <c r="B359" i="1"/>
  <c r="G359" i="1" s="1"/>
  <c r="A359" i="1" s="1"/>
  <c r="AD359" i="1" s="1"/>
  <c r="B437" i="1"/>
  <c r="G437" i="1" s="1"/>
  <c r="A437" i="1" s="1"/>
  <c r="AD437" i="1" s="1"/>
  <c r="B470" i="1"/>
  <c r="G470" i="1" s="1"/>
  <c r="A470" i="1" s="1"/>
  <c r="AD470" i="1" s="1"/>
  <c r="B472" i="1"/>
  <c r="G472" i="1" s="1"/>
  <c r="A472" i="1" s="1"/>
  <c r="AD472" i="1" s="1"/>
  <c r="B252" i="1"/>
  <c r="G252" i="1" s="1"/>
  <c r="A252" i="1" s="1"/>
  <c r="AD252" i="1" s="1"/>
  <c r="B322" i="1"/>
  <c r="G322" i="1" s="1"/>
  <c r="A322" i="1" s="1"/>
  <c r="AD322" i="1" s="1"/>
  <c r="B441" i="1"/>
  <c r="G441" i="1" s="1"/>
  <c r="A441" i="1" s="1"/>
  <c r="AD441" i="1" s="1"/>
  <c r="B445" i="1"/>
  <c r="G445" i="1" s="1"/>
  <c r="A445" i="1" s="1"/>
  <c r="AD445" i="1" s="1"/>
  <c r="B449" i="1"/>
  <c r="G449" i="1" s="1"/>
  <c r="A449" i="1" s="1"/>
  <c r="AD449" i="1" s="1"/>
  <c r="B452" i="1"/>
  <c r="G452" i="1" s="1"/>
  <c r="A452" i="1" s="1"/>
  <c r="AD452" i="1" s="1"/>
  <c r="B453" i="1"/>
  <c r="G453" i="1" s="1"/>
  <c r="A453" i="1" s="1"/>
  <c r="AD453" i="1" s="1"/>
  <c r="B454" i="1"/>
  <c r="G454" i="1" s="1"/>
  <c r="A454" i="1" s="1"/>
  <c r="AD454" i="1" s="1"/>
  <c r="B458" i="1"/>
  <c r="G458" i="1" s="1"/>
  <c r="A458" i="1" s="1"/>
  <c r="AD458" i="1" s="1"/>
  <c r="B475" i="1"/>
  <c r="G475" i="1" s="1"/>
  <c r="A475" i="1" s="1"/>
  <c r="AD475" i="1" s="1"/>
  <c r="B275" i="1"/>
  <c r="G275" i="1" s="1"/>
  <c r="A275" i="1" s="1"/>
  <c r="AD275" i="1" s="1"/>
  <c r="B283" i="1"/>
  <c r="G283" i="1" s="1"/>
  <c r="A283" i="1" s="1"/>
  <c r="AD283" i="1" s="1"/>
  <c r="B313" i="1"/>
  <c r="G313" i="1" s="1"/>
  <c r="A313" i="1" s="1"/>
  <c r="AD313" i="1" s="1"/>
  <c r="B381" i="1"/>
  <c r="G381" i="1" s="1"/>
  <c r="A381" i="1" s="1"/>
  <c r="AD381" i="1" s="1"/>
  <c r="B333" i="1"/>
  <c r="G333" i="1" s="1"/>
  <c r="A333" i="1" s="1"/>
  <c r="AD333" i="1" s="1"/>
  <c r="B379" i="1"/>
  <c r="G379" i="1" s="1"/>
  <c r="A379" i="1" s="1"/>
  <c r="AD379" i="1" s="1"/>
  <c r="B400" i="1"/>
  <c r="G400" i="1" s="1"/>
  <c r="A400" i="1" s="1"/>
  <c r="AD400" i="1" s="1"/>
  <c r="B415" i="1"/>
  <c r="G415" i="1" s="1"/>
  <c r="A415" i="1" s="1"/>
  <c r="AD415" i="1" s="1"/>
  <c r="B334" i="1"/>
  <c r="G334" i="1" s="1"/>
  <c r="A334" i="1" s="1"/>
  <c r="AD334" i="1" s="1"/>
  <c r="B410" i="1"/>
  <c r="G410" i="1" s="1"/>
  <c r="A410" i="1" s="1"/>
  <c r="AD410" i="1" s="1"/>
  <c r="B291" i="1"/>
  <c r="G291" i="1" s="1"/>
  <c r="A291" i="1" s="1"/>
  <c r="AD291" i="1" s="1"/>
  <c r="B329" i="1"/>
  <c r="G329" i="1" s="1"/>
  <c r="A329" i="1" s="1"/>
  <c r="AD329" i="1" s="1"/>
  <c r="B364" i="1"/>
  <c r="G364" i="1" s="1"/>
  <c r="A364" i="1" s="1"/>
  <c r="AD364" i="1" s="1"/>
  <c r="B321" i="1"/>
  <c r="G321" i="1" s="1"/>
  <c r="A321" i="1" s="1"/>
  <c r="AD321" i="1" s="1"/>
  <c r="B326" i="1"/>
  <c r="G326" i="1" s="1"/>
  <c r="A326" i="1" s="1"/>
  <c r="AD326" i="1" s="1"/>
  <c r="B332" i="1"/>
  <c r="G332" i="1" s="1"/>
  <c r="A332" i="1" s="1"/>
  <c r="AD332" i="1" s="1"/>
  <c r="B399" i="1"/>
  <c r="G399" i="1" s="1"/>
  <c r="A399" i="1" s="1"/>
  <c r="AD399" i="1" s="1"/>
  <c r="B401" i="1"/>
  <c r="G401" i="1" s="1"/>
  <c r="A401" i="1" s="1"/>
  <c r="AD401" i="1" s="1"/>
  <c r="B261" i="1"/>
  <c r="G261" i="1" s="1"/>
  <c r="A261" i="1" s="1"/>
  <c r="AD261" i="1" s="1"/>
  <c r="B287" i="1"/>
  <c r="G287" i="1" s="1"/>
  <c r="A287" i="1" s="1"/>
  <c r="AD287" i="1" s="1"/>
  <c r="B292" i="1"/>
  <c r="G292" i="1" s="1"/>
  <c r="A292" i="1" s="1"/>
  <c r="AD292" i="1" s="1"/>
  <c r="B342" i="1"/>
  <c r="G342" i="1" s="1"/>
  <c r="A342" i="1" s="1"/>
  <c r="AD342" i="1" s="1"/>
  <c r="B367" i="1"/>
  <c r="G367" i="1" s="1"/>
  <c r="A367" i="1" s="1"/>
  <c r="AD367" i="1" s="1"/>
  <c r="B348" i="1"/>
  <c r="G348" i="1" s="1"/>
  <c r="A348" i="1" s="1"/>
  <c r="AD348" i="1" s="1"/>
  <c r="B389" i="1"/>
  <c r="G389" i="1" s="1"/>
  <c r="A389" i="1" s="1"/>
  <c r="AD389" i="1" s="1"/>
  <c r="B409" i="1"/>
  <c r="G409" i="1" s="1"/>
  <c r="A409" i="1" s="1"/>
  <c r="AD409" i="1" s="1"/>
  <c r="B277" i="1"/>
  <c r="G277" i="1" s="1"/>
  <c r="A277" i="1" s="1"/>
  <c r="AD277" i="1" s="1"/>
  <c r="B351" i="1"/>
  <c r="G351" i="1" s="1"/>
  <c r="A351" i="1" s="1"/>
  <c r="AD351" i="1" s="1"/>
  <c r="B405" i="1"/>
  <c r="G405" i="1" s="1"/>
  <c r="A405" i="1" s="1"/>
  <c r="AD405" i="1" s="1"/>
  <c r="B195" i="1"/>
  <c r="G195" i="1" s="1"/>
  <c r="A195" i="1" s="1"/>
  <c r="AD195" i="1" s="1"/>
  <c r="B338" i="1"/>
  <c r="G338" i="1" s="1"/>
  <c r="A338" i="1" s="1"/>
  <c r="AD338" i="1" s="1"/>
  <c r="B425" i="1"/>
  <c r="G425" i="1" s="1"/>
  <c r="A425" i="1" s="1"/>
  <c r="AD425" i="1" s="1"/>
  <c r="B279" i="1"/>
  <c r="G279" i="1" s="1"/>
  <c r="A279" i="1" s="1"/>
  <c r="AD279" i="1" s="1"/>
  <c r="B336" i="1"/>
  <c r="G336" i="1" s="1"/>
  <c r="A336" i="1" s="1"/>
  <c r="AD336" i="1" s="1"/>
  <c r="B339" i="1"/>
  <c r="G339" i="1" s="1"/>
  <c r="A339" i="1" s="1"/>
  <c r="AD339" i="1" s="1"/>
  <c r="B308" i="1"/>
  <c r="G308" i="1" s="1"/>
  <c r="A308" i="1" s="1"/>
  <c r="AD308" i="1" s="1"/>
  <c r="B416" i="1"/>
  <c r="G416" i="1" s="1"/>
  <c r="A416" i="1" s="1"/>
  <c r="AD416" i="1" s="1"/>
  <c r="B418" i="1"/>
  <c r="G418" i="1" s="1"/>
  <c r="A418" i="1" s="1"/>
  <c r="AD418" i="1" s="1"/>
  <c r="B319" i="1"/>
  <c r="G319" i="1" s="1"/>
  <c r="A319" i="1" s="1"/>
  <c r="AD319" i="1" s="1"/>
  <c r="B384" i="1"/>
  <c r="G384" i="1" s="1"/>
  <c r="A384" i="1" s="1"/>
  <c r="AD384" i="1" s="1"/>
  <c r="B390" i="1"/>
  <c r="G390" i="1" s="1"/>
  <c r="A390" i="1" s="1"/>
  <c r="AD390" i="1" s="1"/>
  <c r="B392" i="1"/>
  <c r="G392" i="1" s="1"/>
  <c r="A392" i="1" s="1"/>
  <c r="AD392" i="1" s="1"/>
  <c r="B394" i="1"/>
  <c r="G394" i="1" s="1"/>
  <c r="A394" i="1" s="1"/>
  <c r="AD394" i="1" s="1"/>
  <c r="B403" i="1"/>
  <c r="G403" i="1" s="1"/>
  <c r="A403" i="1" s="1"/>
  <c r="AD403" i="1" s="1"/>
  <c r="B407" i="1"/>
  <c r="G407" i="1" s="1"/>
  <c r="A407" i="1" s="1"/>
  <c r="AD407" i="1" s="1"/>
  <c r="B412" i="1"/>
  <c r="G412" i="1" s="1"/>
  <c r="A412" i="1" s="1"/>
  <c r="AD412" i="1" s="1"/>
  <c r="B413" i="1"/>
  <c r="G413" i="1" s="1"/>
  <c r="A413" i="1" s="1"/>
  <c r="AD413" i="1" s="1"/>
  <c r="B414" i="1"/>
  <c r="G414" i="1" s="1"/>
  <c r="A414" i="1" s="1"/>
  <c r="AD414" i="1" s="1"/>
  <c r="B417" i="1"/>
  <c r="G417" i="1" s="1"/>
  <c r="A417" i="1" s="1"/>
  <c r="AD417" i="1" s="1"/>
  <c r="B281" i="1"/>
  <c r="G281" i="1" s="1"/>
  <c r="A281" i="1" s="1"/>
  <c r="AD281" i="1" s="1"/>
  <c r="B310" i="1"/>
  <c r="G310" i="1" s="1"/>
  <c r="A310" i="1" s="1"/>
  <c r="AD310" i="1" s="1"/>
  <c r="B335" i="1"/>
  <c r="G335" i="1" s="1"/>
  <c r="A335" i="1" s="1"/>
  <c r="AD335" i="1" s="1"/>
  <c r="B340" i="1"/>
  <c r="G340" i="1" s="1"/>
  <c r="A340" i="1" s="1"/>
  <c r="AD340" i="1" s="1"/>
  <c r="B350" i="1"/>
  <c r="G350" i="1" s="1"/>
  <c r="A350" i="1" s="1"/>
  <c r="AD350" i="1" s="1"/>
  <c r="B303" i="1"/>
  <c r="G303" i="1" s="1"/>
  <c r="A303" i="1" s="1"/>
  <c r="AD303" i="1" s="1"/>
  <c r="B372" i="1"/>
  <c r="G372" i="1" s="1"/>
  <c r="A372" i="1" s="1"/>
  <c r="AD372" i="1" s="1"/>
  <c r="B374" i="1"/>
  <c r="G374" i="1" s="1"/>
  <c r="A374" i="1" s="1"/>
  <c r="AD374" i="1" s="1"/>
  <c r="B395" i="1"/>
  <c r="G395" i="1" s="1"/>
  <c r="A395" i="1" s="1"/>
  <c r="AD395" i="1" s="1"/>
  <c r="B272" i="1"/>
  <c r="G272" i="1" s="1"/>
  <c r="A272" i="1" s="1"/>
  <c r="AD272" i="1" s="1"/>
  <c r="B294" i="1"/>
  <c r="G294" i="1" s="1"/>
  <c r="A294" i="1" s="1"/>
  <c r="AD294" i="1" s="1"/>
  <c r="B311" i="1"/>
  <c r="G311" i="1" s="1"/>
  <c r="A311" i="1" s="1"/>
  <c r="AD311" i="1" s="1"/>
  <c r="B368" i="1"/>
  <c r="G368" i="1" s="1"/>
  <c r="A368" i="1" s="1"/>
  <c r="AD368" i="1" s="1"/>
  <c r="B404" i="1"/>
  <c r="G404" i="1" s="1"/>
  <c r="A404" i="1" s="1"/>
  <c r="AD404" i="1" s="1"/>
  <c r="B406" i="1"/>
  <c r="G406" i="1" s="1"/>
  <c r="A406" i="1" s="1"/>
  <c r="AD406" i="1" s="1"/>
  <c r="B316" i="1"/>
  <c r="G316" i="1" s="1"/>
  <c r="A316" i="1" s="1"/>
  <c r="AD316" i="1" s="1"/>
  <c r="B357" i="1"/>
  <c r="G357" i="1" s="1"/>
  <c r="A357" i="1" s="1"/>
  <c r="AD357" i="1" s="1"/>
  <c r="B375" i="1"/>
  <c r="G375" i="1" s="1"/>
  <c r="A375" i="1" s="1"/>
  <c r="AD375" i="1" s="1"/>
  <c r="B397" i="1"/>
  <c r="G397" i="1" s="1"/>
  <c r="A397" i="1" s="1"/>
  <c r="AD397" i="1" s="1"/>
  <c r="B402" i="1"/>
  <c r="G402" i="1" s="1"/>
  <c r="A402" i="1" s="1"/>
  <c r="AD402" i="1" s="1"/>
  <c r="B408" i="1"/>
  <c r="G408" i="1" s="1"/>
  <c r="A408" i="1" s="1"/>
  <c r="AD408" i="1" s="1"/>
  <c r="B411" i="1"/>
  <c r="G411" i="1" s="1"/>
  <c r="A411" i="1" s="1"/>
  <c r="AD411" i="1" s="1"/>
  <c r="B259" i="1"/>
  <c r="G259" i="1" s="1"/>
  <c r="A259" i="1" s="1"/>
  <c r="AD259" i="1" s="1"/>
  <c r="B285" i="1"/>
  <c r="G285" i="1" s="1"/>
  <c r="A285" i="1" s="1"/>
  <c r="AD285" i="1" s="1"/>
  <c r="B289" i="1"/>
  <c r="G289" i="1" s="1"/>
  <c r="A289" i="1" s="1"/>
  <c r="AD289" i="1" s="1"/>
  <c r="B199" i="1"/>
  <c r="G199" i="1" s="1"/>
  <c r="A199" i="1" s="1"/>
  <c r="AD199" i="1" s="1"/>
  <c r="B236" i="1"/>
  <c r="G236" i="1" s="1"/>
  <c r="A236" i="1" s="1"/>
  <c r="AD236" i="1" s="1"/>
  <c r="B278" i="1"/>
  <c r="G278" i="1" s="1"/>
  <c r="A278" i="1" s="1"/>
  <c r="AD278" i="1" s="1"/>
  <c r="B307" i="1"/>
  <c r="G307" i="1" s="1"/>
  <c r="A307" i="1" s="1"/>
  <c r="AD307" i="1" s="1"/>
  <c r="B242" i="1"/>
  <c r="G242" i="1" s="1"/>
  <c r="A242" i="1" s="1"/>
  <c r="AD242" i="1" s="1"/>
  <c r="B270" i="1"/>
  <c r="G270" i="1" s="1"/>
  <c r="A270" i="1" s="1"/>
  <c r="AD270" i="1" s="1"/>
  <c r="B254" i="1"/>
  <c r="G254" i="1" s="1"/>
  <c r="A254" i="1" s="1"/>
  <c r="AD254" i="1" s="1"/>
  <c r="B315" i="1"/>
  <c r="G315" i="1" s="1"/>
  <c r="A315" i="1" s="1"/>
  <c r="AD315" i="1" s="1"/>
  <c r="J194" i="1"/>
  <c r="J269" i="1"/>
  <c r="J271" i="1"/>
  <c r="J304" i="1"/>
  <c r="B266" i="1"/>
  <c r="G266" i="1" s="1"/>
  <c r="A266" i="1" s="1"/>
  <c r="AD266" i="1" s="1"/>
  <c r="B295" i="1"/>
  <c r="G295" i="1" s="1"/>
  <c r="A295" i="1" s="1"/>
  <c r="AD295" i="1" s="1"/>
  <c r="B300" i="1"/>
  <c r="G300" i="1" s="1"/>
  <c r="A300" i="1" s="1"/>
  <c r="AD300" i="1" s="1"/>
  <c r="J201" i="1"/>
  <c r="J258" i="1"/>
  <c r="J273" i="1"/>
  <c r="J288" i="1"/>
  <c r="J240" i="1"/>
  <c r="J244" i="1"/>
  <c r="J253" i="1"/>
  <c r="J265" i="1"/>
  <c r="J267" i="1"/>
  <c r="J309" i="1"/>
  <c r="B202" i="1"/>
  <c r="G202" i="1" s="1"/>
  <c r="A202" i="1" s="1"/>
  <c r="AD202" i="1" s="1"/>
  <c r="B264" i="1"/>
  <c r="G264" i="1" s="1"/>
  <c r="A264" i="1" s="1"/>
  <c r="AD264" i="1" s="1"/>
  <c r="Z536" i="1"/>
  <c r="AA565" i="1"/>
  <c r="B200" i="1"/>
  <c r="G200" i="1" s="1"/>
  <c r="A200" i="1" s="1"/>
  <c r="AD200" i="1" s="1"/>
  <c r="B256" i="1"/>
  <c r="G256" i="1" s="1"/>
  <c r="A256" i="1" s="1"/>
  <c r="AD256" i="1" s="1"/>
  <c r="B234" i="1"/>
  <c r="G234" i="1" s="1"/>
  <c r="A234" i="1" s="1"/>
  <c r="AD234" i="1" s="1"/>
  <c r="G4" i="1"/>
  <c r="A4" i="1" s="1"/>
  <c r="W4" i="1" s="1"/>
  <c r="B262" i="1"/>
  <c r="G262" i="1" s="1"/>
  <c r="A262" i="1" s="1"/>
  <c r="AD262" i="1" s="1"/>
  <c r="B246" i="1"/>
  <c r="G246" i="1" s="1"/>
  <c r="A246" i="1" s="1"/>
  <c r="B248" i="1"/>
  <c r="G248" i="1" s="1"/>
  <c r="A248" i="1" s="1"/>
  <c r="AD248" i="1" s="1"/>
  <c r="Z532" i="1"/>
  <c r="Z540" i="1"/>
  <c r="B249" i="1"/>
  <c r="G249" i="1" s="1"/>
  <c r="A249" i="1" s="1"/>
  <c r="B263" i="1"/>
  <c r="G263" i="1" s="1"/>
  <c r="A263" i="1" s="1"/>
  <c r="AD263" i="1" s="1"/>
  <c r="B290" i="1"/>
  <c r="G290" i="1" s="1"/>
  <c r="A290" i="1" s="1"/>
  <c r="AD290" i="1" s="1"/>
  <c r="B302" i="1"/>
  <c r="G302" i="1" s="1"/>
  <c r="A302" i="1" s="1"/>
  <c r="AD302" i="1" s="1"/>
  <c r="B314" i="1"/>
  <c r="G314" i="1" s="1"/>
  <c r="A314" i="1" s="1"/>
  <c r="AD314" i="1" s="1"/>
  <c r="B241" i="1"/>
  <c r="G241" i="1" s="1"/>
  <c r="A241" i="1" s="1"/>
  <c r="AD241" i="1" s="1"/>
  <c r="B243" i="1"/>
  <c r="G243" i="1" s="1"/>
  <c r="A243" i="1" s="1"/>
  <c r="AD243" i="1" s="1"/>
  <c r="B251" i="1"/>
  <c r="G251" i="1" s="1"/>
  <c r="A251" i="1" s="1"/>
  <c r="AD251" i="1" s="1"/>
  <c r="B280" i="1"/>
  <c r="G280" i="1" s="1"/>
  <c r="A280" i="1" s="1"/>
  <c r="AD280" i="1" s="1"/>
  <c r="B282" i="1"/>
  <c r="G282" i="1" s="1"/>
  <c r="A282" i="1" s="1"/>
  <c r="AD282" i="1" s="1"/>
  <c r="B284" i="1"/>
  <c r="G284" i="1" s="1"/>
  <c r="A284" i="1" s="1"/>
  <c r="AD284" i="1" s="1"/>
  <c r="Z484" i="1"/>
  <c r="AA549" i="1"/>
  <c r="AA581" i="1"/>
  <c r="AC388" i="1"/>
  <c r="T388" i="1" s="1"/>
  <c r="AC385" i="1"/>
  <c r="T385" i="1" s="1"/>
  <c r="AC391" i="1"/>
  <c r="T391" i="1" s="1"/>
  <c r="Z377" i="1"/>
  <c r="Z381" i="1"/>
  <c r="Z385" i="1"/>
  <c r="AB385" i="1" s="1"/>
  <c r="Z389" i="1"/>
  <c r="AB389" i="1" s="1"/>
  <c r="AC389" i="1" s="1"/>
  <c r="T389" i="1" s="1"/>
  <c r="Z393" i="1"/>
  <c r="AB393" i="1" s="1"/>
  <c r="AC393" i="1" s="1"/>
  <c r="T393" i="1" s="1"/>
  <c r="Z439" i="1"/>
  <c r="Z443" i="1"/>
  <c r="Z447" i="1"/>
  <c r="Z460" i="1"/>
  <c r="Z500" i="1"/>
  <c r="Z504" i="1"/>
  <c r="Z508" i="1"/>
  <c r="AA557" i="1"/>
  <c r="AA573" i="1"/>
  <c r="Z249" i="1"/>
  <c r="AB249" i="1" s="1"/>
  <c r="AC249" i="1" s="1"/>
  <c r="T249" i="1" s="1"/>
  <c r="AA278" i="1"/>
  <c r="AA306" i="1"/>
  <c r="Z369" i="1"/>
  <c r="AB369" i="1" s="1"/>
  <c r="AC369" i="1" s="1"/>
  <c r="T369" i="1" s="1"/>
  <c r="Z397" i="1"/>
  <c r="Z399" i="1"/>
  <c r="Z403" i="1"/>
  <c r="Z407" i="1"/>
  <c r="Z411" i="1"/>
  <c r="Z415" i="1"/>
  <c r="Z419" i="1"/>
  <c r="Z423" i="1"/>
  <c r="Z427" i="1"/>
  <c r="Z431" i="1"/>
  <c r="Z435" i="1"/>
  <c r="Z456" i="1"/>
  <c r="Z468" i="1"/>
  <c r="Z472" i="1"/>
  <c r="Z476" i="1"/>
  <c r="Z488" i="1"/>
  <c r="Z492" i="1"/>
  <c r="Z496" i="1"/>
  <c r="Z512" i="1"/>
  <c r="Z516" i="1"/>
  <c r="Z520" i="1"/>
  <c r="Z524" i="1"/>
  <c r="Z528" i="1"/>
  <c r="AA569" i="1"/>
  <c r="AA577" i="1"/>
  <c r="AA585" i="1"/>
  <c r="B193" i="1"/>
  <c r="G193" i="1" s="1"/>
  <c r="A193" i="1" s="1"/>
  <c r="AD193" i="1" s="1"/>
  <c r="Z451" i="1"/>
  <c r="Z196" i="1"/>
  <c r="AB196" i="1" s="1"/>
  <c r="AC196" i="1" s="1"/>
  <c r="T196" i="1" s="1"/>
  <c r="Z464" i="1"/>
  <c r="Z480" i="1"/>
  <c r="Z544" i="1"/>
  <c r="AA553" i="1"/>
  <c r="AA561" i="1"/>
  <c r="Z373" i="1"/>
  <c r="AB373" i="1" s="1"/>
  <c r="AC373" i="1" s="1"/>
  <c r="T373" i="1" s="1"/>
  <c r="B196" i="1"/>
  <c r="AA274" i="1"/>
  <c r="AA282" i="1"/>
  <c r="AB282" i="1" s="1"/>
  <c r="AC282" i="1" s="1"/>
  <c r="T282" i="1" s="1"/>
  <c r="AA295" i="1"/>
  <c r="AB295" i="1" s="1"/>
  <c r="AC295" i="1" s="1"/>
  <c r="T295" i="1" s="1"/>
  <c r="AA296" i="1"/>
  <c r="AA310" i="1"/>
  <c r="AB310" i="1" s="1"/>
  <c r="AC310" i="1" s="1"/>
  <c r="T310" i="1" s="1"/>
  <c r="AA332" i="1"/>
  <c r="Z343" i="1"/>
  <c r="AB343" i="1" s="1"/>
  <c r="AC343" i="1" s="1"/>
  <c r="T343" i="1" s="1"/>
  <c r="AA401" i="1"/>
  <c r="Z401" i="1"/>
  <c r="AA405" i="1"/>
  <c r="Z405" i="1"/>
  <c r="AA409" i="1"/>
  <c r="Z409" i="1"/>
  <c r="AA413" i="1"/>
  <c r="Z413" i="1"/>
  <c r="AA417" i="1"/>
  <c r="Z417" i="1"/>
  <c r="AA421" i="1"/>
  <c r="Z421" i="1"/>
  <c r="AA425" i="1"/>
  <c r="Z425" i="1"/>
  <c r="AA429" i="1"/>
  <c r="Z429" i="1"/>
  <c r="AA433" i="1"/>
  <c r="Z433" i="1"/>
  <c r="AA437" i="1"/>
  <c r="Z437" i="1"/>
  <c r="AA441" i="1"/>
  <c r="Z441" i="1"/>
  <c r="AA445" i="1"/>
  <c r="Z445" i="1"/>
  <c r="AA449" i="1"/>
  <c r="Z449" i="1"/>
  <c r="AA453" i="1"/>
  <c r="Z453" i="1"/>
  <c r="Z551" i="1"/>
  <c r="AA551" i="1"/>
  <c r="Z559" i="1"/>
  <c r="AA559" i="1"/>
  <c r="Z567" i="1"/>
  <c r="AA567" i="1"/>
  <c r="Z575" i="1"/>
  <c r="AA575" i="1"/>
  <c r="Z583" i="1"/>
  <c r="AA583" i="1"/>
  <c r="Z200" i="1"/>
  <c r="Z236" i="1"/>
  <c r="AB236" i="1" s="1"/>
  <c r="AC236" i="1" s="1"/>
  <c r="T236" i="1" s="1"/>
  <c r="Z259" i="1"/>
  <c r="AA259" i="1" s="1"/>
  <c r="Z345" i="1"/>
  <c r="AB345" i="1" s="1"/>
  <c r="AC345" i="1" s="1"/>
  <c r="T345" i="1" s="1"/>
  <c r="Z353" i="1"/>
  <c r="AB353" i="1" s="1"/>
  <c r="AC353" i="1" s="1"/>
  <c r="T353" i="1" s="1"/>
  <c r="Z357" i="1"/>
  <c r="Z359" i="1"/>
  <c r="AB359" i="1" s="1"/>
  <c r="AC359" i="1" s="1"/>
  <c r="T359" i="1" s="1"/>
  <c r="Z362" i="1"/>
  <c r="Z364" i="1"/>
  <c r="AB364" i="1" s="1"/>
  <c r="AC364" i="1" s="1"/>
  <c r="T364" i="1" s="1"/>
  <c r="Z371" i="1"/>
  <c r="Z375" i="1"/>
  <c r="Z379" i="1"/>
  <c r="Z383" i="1"/>
  <c r="AB383" i="1" s="1"/>
  <c r="AC383" i="1" s="1"/>
  <c r="T383" i="1" s="1"/>
  <c r="Z387" i="1"/>
  <c r="AB387" i="1" s="1"/>
  <c r="AC387" i="1" s="1"/>
  <c r="T387" i="1" s="1"/>
  <c r="Z391" i="1"/>
  <c r="AB391" i="1" s="1"/>
  <c r="Z395" i="1"/>
  <c r="AA454" i="1"/>
  <c r="Z454" i="1"/>
  <c r="AA458" i="1"/>
  <c r="Z458" i="1"/>
  <c r="AA462" i="1"/>
  <c r="Z462" i="1"/>
  <c r="AA466" i="1"/>
  <c r="Z466" i="1"/>
  <c r="AA470" i="1"/>
  <c r="Z470" i="1"/>
  <c r="AA474" i="1"/>
  <c r="Z474" i="1"/>
  <c r="AA478" i="1"/>
  <c r="Z478" i="1"/>
  <c r="AA482" i="1"/>
  <c r="Z482" i="1"/>
  <c r="AA486" i="1"/>
  <c r="Z486" i="1"/>
  <c r="AA490" i="1"/>
  <c r="Z490" i="1"/>
  <c r="AA494" i="1"/>
  <c r="Z494" i="1"/>
  <c r="AA498" i="1"/>
  <c r="Z498" i="1"/>
  <c r="AA502" i="1"/>
  <c r="Z502" i="1"/>
  <c r="AA506" i="1"/>
  <c r="Z506" i="1"/>
  <c r="AA510" i="1"/>
  <c r="Z510" i="1"/>
  <c r="AA514" i="1"/>
  <c r="Z514" i="1"/>
  <c r="AA518" i="1"/>
  <c r="Z518" i="1"/>
  <c r="AA522" i="1"/>
  <c r="Z522" i="1"/>
  <c r="AA526" i="1"/>
  <c r="Z526" i="1"/>
  <c r="AA530" i="1"/>
  <c r="Z530" i="1"/>
  <c r="AA534" i="1"/>
  <c r="Z534" i="1"/>
  <c r="AA538" i="1"/>
  <c r="Z538" i="1"/>
  <c r="AA542" i="1"/>
  <c r="Z542" i="1"/>
  <c r="Z547" i="1"/>
  <c r="AA547" i="1"/>
  <c r="Z555" i="1"/>
  <c r="AA555" i="1"/>
  <c r="Z563" i="1"/>
  <c r="AA563" i="1"/>
  <c r="Z571" i="1"/>
  <c r="AA571" i="1"/>
  <c r="Z579" i="1"/>
  <c r="AA579" i="1"/>
  <c r="Z587" i="1"/>
  <c r="AA587" i="1"/>
  <c r="Z367" i="1"/>
  <c r="AB367" i="1" s="1"/>
  <c r="AC367" i="1" s="1"/>
  <c r="T367" i="1" s="1"/>
  <c r="Z355" i="1"/>
  <c r="AB355" i="1" s="1"/>
  <c r="AC355" i="1" s="1"/>
  <c r="T355" i="1" s="1"/>
  <c r="Z351" i="1"/>
  <c r="AB351" i="1" s="1"/>
  <c r="AC351" i="1" s="1"/>
  <c r="T351" i="1" s="1"/>
  <c r="Z349" i="1"/>
  <c r="AB349" i="1" s="1"/>
  <c r="AC349" i="1" s="1"/>
  <c r="T349" i="1" s="1"/>
  <c r="Z347" i="1"/>
  <c r="AB347" i="1" s="1"/>
  <c r="AC347" i="1" s="1"/>
  <c r="T347" i="1" s="1"/>
  <c r="Z270" i="1"/>
  <c r="AA272" i="1"/>
  <c r="AA276" i="1"/>
  <c r="AA280" i="1"/>
  <c r="AA284" i="1"/>
  <c r="AA303" i="1"/>
  <c r="AA304" i="1"/>
  <c r="AA308" i="1"/>
  <c r="Z316" i="1"/>
  <c r="AB316" i="1" s="1"/>
  <c r="AC316" i="1" s="1"/>
  <c r="T316" i="1" s="1"/>
  <c r="AA323" i="1"/>
  <c r="AB323" i="1" s="1"/>
  <c r="AC323" i="1" s="1"/>
  <c r="T323" i="1" s="1"/>
  <c r="AA329" i="1"/>
  <c r="AB329" i="1" s="1"/>
  <c r="AC329" i="1" s="1"/>
  <c r="T329" i="1" s="1"/>
  <c r="AA330" i="1"/>
  <c r="AA334" i="1"/>
  <c r="Z340" i="1"/>
  <c r="AB340" i="1" s="1"/>
  <c r="AC340" i="1" s="1"/>
  <c r="T340" i="1" s="1"/>
  <c r="Z344" i="1"/>
  <c r="AB344" i="1" s="1"/>
  <c r="AC344" i="1" s="1"/>
  <c r="T344" i="1" s="1"/>
  <c r="Z346" i="1"/>
  <c r="AB346" i="1" s="1"/>
  <c r="AC346" i="1" s="1"/>
  <c r="T346" i="1" s="1"/>
  <c r="Z348" i="1"/>
  <c r="AB348" i="1" s="1"/>
  <c r="AC348" i="1" s="1"/>
  <c r="T348" i="1" s="1"/>
  <c r="Z350" i="1"/>
  <c r="AB350" i="1" s="1"/>
  <c r="AC350" i="1" s="1"/>
  <c r="T350" i="1" s="1"/>
  <c r="Z352" i="1"/>
  <c r="AB352" i="1" s="1"/>
  <c r="AC352" i="1" s="1"/>
  <c r="T352" i="1" s="1"/>
  <c r="Z354" i="1"/>
  <c r="AB354" i="1" s="1"/>
  <c r="AC354" i="1" s="1"/>
  <c r="T354" i="1" s="1"/>
  <c r="Z356" i="1"/>
  <c r="AB356" i="1" s="1"/>
  <c r="AC356" i="1" s="1"/>
  <c r="T356" i="1" s="1"/>
  <c r="Z358" i="1"/>
  <c r="AB358" i="1" s="1"/>
  <c r="AC358" i="1" s="1"/>
  <c r="T358" i="1" s="1"/>
  <c r="Z361" i="1"/>
  <c r="Z363" i="1"/>
  <c r="Z366" i="1"/>
  <c r="AB366" i="1" s="1"/>
  <c r="AC366" i="1" s="1"/>
  <c r="T366" i="1" s="1"/>
  <c r="Z368" i="1"/>
  <c r="Z370" i="1"/>
  <c r="AB370" i="1" s="1"/>
  <c r="AC370" i="1" s="1"/>
  <c r="T370" i="1" s="1"/>
  <c r="Z372" i="1"/>
  <c r="Z374" i="1"/>
  <c r="AB374" i="1" s="1"/>
  <c r="AC374" i="1" s="1"/>
  <c r="T374" i="1" s="1"/>
  <c r="Z376" i="1"/>
  <c r="AB376" i="1" s="1"/>
  <c r="AC376" i="1" s="1"/>
  <c r="T376" i="1" s="1"/>
  <c r="Z378" i="1"/>
  <c r="AB378" i="1" s="1"/>
  <c r="AC378" i="1" s="1"/>
  <c r="T378" i="1" s="1"/>
  <c r="Z380" i="1"/>
  <c r="AB380" i="1" s="1"/>
  <c r="AC380" i="1" s="1"/>
  <c r="T380" i="1" s="1"/>
  <c r="Z382" i="1"/>
  <c r="AB382" i="1" s="1"/>
  <c r="AC382" i="1" s="1"/>
  <c r="T382" i="1" s="1"/>
  <c r="Z384" i="1"/>
  <c r="Z386" i="1"/>
  <c r="AB386" i="1" s="1"/>
  <c r="AC386" i="1" s="1"/>
  <c r="T386" i="1" s="1"/>
  <c r="Z388" i="1"/>
  <c r="AB388" i="1" s="1"/>
  <c r="Z390" i="1"/>
  <c r="AB390" i="1" s="1"/>
  <c r="AC390" i="1" s="1"/>
  <c r="T390" i="1" s="1"/>
  <c r="Z392" i="1"/>
  <c r="Z394" i="1"/>
  <c r="AB394" i="1" s="1"/>
  <c r="AC394" i="1" s="1"/>
  <c r="T394" i="1" s="1"/>
  <c r="Z396" i="1"/>
  <c r="Z398" i="1"/>
  <c r="AA402" i="1"/>
  <c r="Z402" i="1"/>
  <c r="AA406" i="1"/>
  <c r="Z406" i="1"/>
  <c r="AA410" i="1"/>
  <c r="Z410" i="1"/>
  <c r="AA414" i="1"/>
  <c r="Z414" i="1"/>
  <c r="AA418" i="1"/>
  <c r="Z418" i="1"/>
  <c r="AA400" i="1"/>
  <c r="Z400" i="1"/>
  <c r="AA404" i="1"/>
  <c r="Z404" i="1"/>
  <c r="AA408" i="1"/>
  <c r="Z408" i="1"/>
  <c r="AA412" i="1"/>
  <c r="Z412" i="1"/>
  <c r="AA416" i="1"/>
  <c r="Z416" i="1"/>
  <c r="AA420" i="1"/>
  <c r="Z420" i="1"/>
  <c r="Z422" i="1"/>
  <c r="Z424" i="1"/>
  <c r="Z426" i="1"/>
  <c r="Z428" i="1"/>
  <c r="Z430" i="1"/>
  <c r="Z432" i="1"/>
  <c r="Z434" i="1"/>
  <c r="Z436" i="1"/>
  <c r="Z438" i="1"/>
  <c r="Z440" i="1"/>
  <c r="Z442" i="1"/>
  <c r="Z444" i="1"/>
  <c r="Z446" i="1"/>
  <c r="Z448" i="1"/>
  <c r="Z450" i="1"/>
  <c r="Z452" i="1"/>
  <c r="AA503" i="1"/>
  <c r="Z503" i="1"/>
  <c r="AA507" i="1"/>
  <c r="Z507" i="1"/>
  <c r="AA511" i="1"/>
  <c r="Z511" i="1"/>
  <c r="AA515" i="1"/>
  <c r="Z515" i="1"/>
  <c r="AA519" i="1"/>
  <c r="Z519" i="1"/>
  <c r="AA523" i="1"/>
  <c r="Z523" i="1"/>
  <c r="AA527" i="1"/>
  <c r="Z527" i="1"/>
  <c r="AA531" i="1"/>
  <c r="Z531" i="1"/>
  <c r="AA535" i="1"/>
  <c r="Z535" i="1"/>
  <c r="AA539" i="1"/>
  <c r="Z539" i="1"/>
  <c r="AA543" i="1"/>
  <c r="Z543" i="1"/>
  <c r="Z546" i="1"/>
  <c r="AA546" i="1"/>
  <c r="Z550" i="1"/>
  <c r="AA550" i="1"/>
  <c r="Z554" i="1"/>
  <c r="AA554" i="1"/>
  <c r="Z455" i="1"/>
  <c r="Z457" i="1"/>
  <c r="Z459" i="1"/>
  <c r="Z461" i="1"/>
  <c r="Z463" i="1"/>
  <c r="Z465" i="1"/>
  <c r="Z467" i="1"/>
  <c r="Z469" i="1"/>
  <c r="Z471" i="1"/>
  <c r="Z473" i="1"/>
  <c r="Z475" i="1"/>
  <c r="Z477" i="1"/>
  <c r="Z479" i="1"/>
  <c r="Z481" i="1"/>
  <c r="Z483" i="1"/>
  <c r="Z485" i="1"/>
  <c r="Z487" i="1"/>
  <c r="Z489" i="1"/>
  <c r="Z491" i="1"/>
  <c r="Z493" i="1"/>
  <c r="Z495" i="1"/>
  <c r="Z497" i="1"/>
  <c r="Z499" i="1"/>
  <c r="Z501" i="1"/>
  <c r="AA505" i="1"/>
  <c r="Z505" i="1"/>
  <c r="AA509" i="1"/>
  <c r="Z509" i="1"/>
  <c r="AA513" i="1"/>
  <c r="Z513" i="1"/>
  <c r="AA517" i="1"/>
  <c r="Z517" i="1"/>
  <c r="AA521" i="1"/>
  <c r="Z521" i="1"/>
  <c r="AA525" i="1"/>
  <c r="Z525" i="1"/>
  <c r="AA529" i="1"/>
  <c r="Z529" i="1"/>
  <c r="AA533" i="1"/>
  <c r="Z533" i="1"/>
  <c r="AA537" i="1"/>
  <c r="Z537" i="1"/>
  <c r="AA541" i="1"/>
  <c r="Z541" i="1"/>
  <c r="AA545" i="1"/>
  <c r="Z545" i="1"/>
  <c r="Z548" i="1"/>
  <c r="AA548" i="1"/>
  <c r="Z552" i="1"/>
  <c r="AA552" i="1"/>
  <c r="Z556" i="1"/>
  <c r="AA556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558" i="1"/>
  <c r="AA560" i="1"/>
  <c r="AA562" i="1"/>
  <c r="AA564" i="1"/>
  <c r="AA566" i="1"/>
  <c r="AA568" i="1"/>
  <c r="AA570" i="1"/>
  <c r="AA572" i="1"/>
  <c r="AA574" i="1"/>
  <c r="AA576" i="1"/>
  <c r="AA578" i="1"/>
  <c r="AA580" i="1"/>
  <c r="AA582" i="1"/>
  <c r="AA584" i="1"/>
  <c r="AA586" i="1"/>
  <c r="AA4" i="1"/>
  <c r="AB4" i="1" s="1"/>
  <c r="AC4" i="1" s="1"/>
  <c r="T4" i="1" s="1"/>
  <c r="AA67" i="1"/>
  <c r="AB67" i="1" s="1"/>
  <c r="AC67" i="1" s="1"/>
  <c r="T67" i="1" s="1"/>
  <c r="AA247" i="1"/>
  <c r="AB247" i="1" s="1"/>
  <c r="AC247" i="1" s="1"/>
  <c r="T247" i="1" s="1"/>
  <c r="AA251" i="1"/>
  <c r="AB251" i="1" s="1"/>
  <c r="AC251" i="1" s="1"/>
  <c r="T251" i="1" s="1"/>
  <c r="AA253" i="1"/>
  <c r="AB253" i="1" s="1"/>
  <c r="AC253" i="1" s="1"/>
  <c r="T253" i="1" s="1"/>
  <c r="AA255" i="1"/>
  <c r="AB255" i="1" s="1"/>
  <c r="AC255" i="1" s="1"/>
  <c r="T255" i="1" s="1"/>
  <c r="AA256" i="1"/>
  <c r="AB256" i="1" s="1"/>
  <c r="AC256" i="1" s="1"/>
  <c r="T256" i="1" s="1"/>
  <c r="I4" i="1"/>
  <c r="Z13" i="1"/>
  <c r="Z64" i="1"/>
  <c r="AB64" i="1" s="1"/>
  <c r="AC64" i="1" s="1"/>
  <c r="T64" i="1" s="1"/>
  <c r="AA69" i="1"/>
  <c r="AB69" i="1" s="1"/>
  <c r="AC69" i="1" s="1"/>
  <c r="T69" i="1" s="1"/>
  <c r="Z70" i="1"/>
  <c r="Z193" i="1"/>
  <c r="Z194" i="1"/>
  <c r="AA195" i="1"/>
  <c r="AB195" i="1" s="1"/>
  <c r="AC195" i="1" s="1"/>
  <c r="T195" i="1" s="1"/>
  <c r="AA197" i="1"/>
  <c r="AB197" i="1" s="1"/>
  <c r="AC197" i="1" s="1"/>
  <c r="T197" i="1" s="1"/>
  <c r="Z198" i="1"/>
  <c r="AA199" i="1"/>
  <c r="AB199" i="1" s="1"/>
  <c r="AC199" i="1" s="1"/>
  <c r="T199" i="1" s="1"/>
  <c r="AA201" i="1"/>
  <c r="AB201" i="1" s="1"/>
  <c r="AC201" i="1" s="1"/>
  <c r="T201" i="1" s="1"/>
  <c r="Z202" i="1"/>
  <c r="Z204" i="1"/>
  <c r="AB204" i="1" s="1"/>
  <c r="AC204" i="1" s="1"/>
  <c r="T204" i="1" s="1"/>
  <c r="Z225" i="1"/>
  <c r="AA226" i="1"/>
  <c r="AB226" i="1" s="1"/>
  <c r="AC226" i="1" s="1"/>
  <c r="T226" i="1" s="1"/>
  <c r="Z234" i="1"/>
  <c r="AA235" i="1"/>
  <c r="AB235" i="1" s="1"/>
  <c r="AC235" i="1" s="1"/>
  <c r="T235" i="1" s="1"/>
  <c r="AA240" i="1"/>
  <c r="AB240" i="1" s="1"/>
  <c r="AC240" i="1" s="1"/>
  <c r="T240" i="1" s="1"/>
  <c r="Z241" i="1"/>
  <c r="AA242" i="1"/>
  <c r="AB242" i="1" s="1"/>
  <c r="AC242" i="1" s="1"/>
  <c r="T242" i="1" s="1"/>
  <c r="Z243" i="1"/>
  <c r="AA244" i="1"/>
  <c r="AB244" i="1" s="1"/>
  <c r="AC244" i="1" s="1"/>
  <c r="T244" i="1" s="1"/>
  <c r="Z245" i="1"/>
  <c r="Z246" i="1"/>
  <c r="AB246" i="1" s="1"/>
  <c r="AC246" i="1" s="1"/>
  <c r="T246" i="1" s="1"/>
  <c r="AA248" i="1"/>
  <c r="AB248" i="1" s="1"/>
  <c r="AC248" i="1" s="1"/>
  <c r="T248" i="1" s="1"/>
  <c r="AA250" i="1"/>
  <c r="AB250" i="1" s="1"/>
  <c r="AC250" i="1" s="1"/>
  <c r="T250" i="1" s="1"/>
  <c r="AA252" i="1"/>
  <c r="AB252" i="1" s="1"/>
  <c r="AC252" i="1" s="1"/>
  <c r="T252" i="1" s="1"/>
  <c r="AA254" i="1"/>
  <c r="AB254" i="1" s="1"/>
  <c r="AC254" i="1" s="1"/>
  <c r="T254" i="1" s="1"/>
  <c r="Z257" i="1"/>
  <c r="AA258" i="1"/>
  <c r="AB258" i="1" s="1"/>
  <c r="AC258" i="1" s="1"/>
  <c r="T258" i="1" s="1"/>
  <c r="AA260" i="1"/>
  <c r="AB260" i="1" s="1"/>
  <c r="AC260" i="1" s="1"/>
  <c r="T260" i="1" s="1"/>
  <c r="Z261" i="1"/>
  <c r="AA262" i="1"/>
  <c r="AB262" i="1" s="1"/>
  <c r="AC262" i="1" s="1"/>
  <c r="T262" i="1" s="1"/>
  <c r="Z263" i="1"/>
  <c r="AA263" i="1" s="1"/>
  <c r="Z264" i="1"/>
  <c r="Z265" i="1"/>
  <c r="AA266" i="1"/>
  <c r="AB266" i="1" s="1"/>
  <c r="AC266" i="1" s="1"/>
  <c r="T266" i="1" s="1"/>
  <c r="Z267" i="1"/>
  <c r="AB267" i="1" s="1"/>
  <c r="AC267" i="1" s="1"/>
  <c r="T267" i="1" s="1"/>
  <c r="Z268" i="1"/>
  <c r="AB268" i="1" s="1"/>
  <c r="AC268" i="1" s="1"/>
  <c r="T268" i="1" s="1"/>
  <c r="AB272" i="1"/>
  <c r="AC272" i="1" s="1"/>
  <c r="T272" i="1" s="1"/>
  <c r="AB274" i="1"/>
  <c r="AC274" i="1" s="1"/>
  <c r="T274" i="1" s="1"/>
  <c r="AB276" i="1"/>
  <c r="AC276" i="1" s="1"/>
  <c r="T276" i="1" s="1"/>
  <c r="AB278" i="1"/>
  <c r="AC278" i="1" s="1"/>
  <c r="T278" i="1" s="1"/>
  <c r="AB280" i="1"/>
  <c r="AC280" i="1" s="1"/>
  <c r="T280" i="1" s="1"/>
  <c r="AB284" i="1"/>
  <c r="AC284" i="1" s="1"/>
  <c r="T284" i="1" s="1"/>
  <c r="AA285" i="1"/>
  <c r="AB285" i="1" s="1"/>
  <c r="AC285" i="1" s="1"/>
  <c r="T285" i="1" s="1"/>
  <c r="AA286" i="1"/>
  <c r="AB286" i="1" s="1"/>
  <c r="AC286" i="1" s="1"/>
  <c r="T286" i="1" s="1"/>
  <c r="AA288" i="1"/>
  <c r="AB288" i="1" s="1"/>
  <c r="AC288" i="1" s="1"/>
  <c r="T288" i="1" s="1"/>
  <c r="AA290" i="1"/>
  <c r="AB290" i="1" s="1"/>
  <c r="AC290" i="1" s="1"/>
  <c r="T290" i="1" s="1"/>
  <c r="AA292" i="1"/>
  <c r="AB292" i="1" s="1"/>
  <c r="AC292" i="1" s="1"/>
  <c r="T292" i="1" s="1"/>
  <c r="AA294" i="1"/>
  <c r="AB294" i="1" s="1"/>
  <c r="AC294" i="1" s="1"/>
  <c r="T294" i="1" s="1"/>
  <c r="AB296" i="1"/>
  <c r="AC296" i="1" s="1"/>
  <c r="T296" i="1" s="1"/>
  <c r="AA297" i="1"/>
  <c r="AB297" i="1" s="1"/>
  <c r="AC297" i="1" s="1"/>
  <c r="T297" i="1" s="1"/>
  <c r="AA298" i="1"/>
  <c r="AB298" i="1" s="1"/>
  <c r="AC298" i="1" s="1"/>
  <c r="T298" i="1" s="1"/>
  <c r="AA300" i="1"/>
  <c r="AB300" i="1" s="1"/>
  <c r="AC300" i="1" s="1"/>
  <c r="T300" i="1" s="1"/>
  <c r="AA302" i="1"/>
  <c r="AB302" i="1" s="1"/>
  <c r="AC302" i="1" s="1"/>
  <c r="T302" i="1" s="1"/>
  <c r="AB304" i="1"/>
  <c r="AC304" i="1" s="1"/>
  <c r="T304" i="1" s="1"/>
  <c r="AB306" i="1"/>
  <c r="AC306" i="1" s="1"/>
  <c r="T306" i="1" s="1"/>
  <c r="AB308" i="1"/>
  <c r="AC308" i="1" s="1"/>
  <c r="T308" i="1" s="1"/>
  <c r="AA311" i="1"/>
  <c r="AB311" i="1" s="1"/>
  <c r="AC311" i="1" s="1"/>
  <c r="T311" i="1" s="1"/>
  <c r="AA13" i="1"/>
  <c r="AA70" i="1"/>
  <c r="AA194" i="1"/>
  <c r="AA198" i="1"/>
  <c r="AA202" i="1"/>
  <c r="AA225" i="1"/>
  <c r="AA234" i="1"/>
  <c r="AA241" i="1"/>
  <c r="AA243" i="1"/>
  <c r="AA245" i="1"/>
  <c r="AA257" i="1"/>
  <c r="AA261" i="1"/>
  <c r="AA265" i="1"/>
  <c r="AA269" i="1"/>
  <c r="AB269" i="1" s="1"/>
  <c r="AC269" i="1" s="1"/>
  <c r="T269" i="1" s="1"/>
  <c r="AA271" i="1"/>
  <c r="AB271" i="1" s="1"/>
  <c r="AC271" i="1" s="1"/>
  <c r="T271" i="1" s="1"/>
  <c r="AA273" i="1"/>
  <c r="AB273" i="1" s="1"/>
  <c r="AC273" i="1" s="1"/>
  <c r="T273" i="1" s="1"/>
  <c r="AA275" i="1"/>
  <c r="AB275" i="1" s="1"/>
  <c r="AC275" i="1" s="1"/>
  <c r="T275" i="1" s="1"/>
  <c r="AA277" i="1"/>
  <c r="AB277" i="1" s="1"/>
  <c r="AC277" i="1" s="1"/>
  <c r="T277" i="1" s="1"/>
  <c r="AA279" i="1"/>
  <c r="AB279" i="1" s="1"/>
  <c r="AC279" i="1" s="1"/>
  <c r="T279" i="1" s="1"/>
  <c r="AA281" i="1"/>
  <c r="AB281" i="1" s="1"/>
  <c r="AC281" i="1" s="1"/>
  <c r="T281" i="1" s="1"/>
  <c r="AA283" i="1"/>
  <c r="AB283" i="1" s="1"/>
  <c r="AC283" i="1" s="1"/>
  <c r="T283" i="1" s="1"/>
  <c r="AA287" i="1"/>
  <c r="AB287" i="1" s="1"/>
  <c r="AC287" i="1" s="1"/>
  <c r="T287" i="1" s="1"/>
  <c r="AA289" i="1"/>
  <c r="AB289" i="1" s="1"/>
  <c r="AC289" i="1" s="1"/>
  <c r="T289" i="1" s="1"/>
  <c r="AA291" i="1"/>
  <c r="AB291" i="1" s="1"/>
  <c r="AC291" i="1" s="1"/>
  <c r="T291" i="1" s="1"/>
  <c r="AA293" i="1"/>
  <c r="AB293" i="1" s="1"/>
  <c r="AC293" i="1" s="1"/>
  <c r="T293" i="1" s="1"/>
  <c r="AA299" i="1"/>
  <c r="AB299" i="1" s="1"/>
  <c r="AC299" i="1" s="1"/>
  <c r="T299" i="1" s="1"/>
  <c r="AA301" i="1"/>
  <c r="AB301" i="1" s="1"/>
  <c r="AC301" i="1" s="1"/>
  <c r="T301" i="1" s="1"/>
  <c r="AA305" i="1"/>
  <c r="AB305" i="1" s="1"/>
  <c r="AC305" i="1" s="1"/>
  <c r="T305" i="1" s="1"/>
  <c r="AA307" i="1"/>
  <c r="AB307" i="1" s="1"/>
  <c r="AC307" i="1" s="1"/>
  <c r="T307" i="1" s="1"/>
  <c r="AA309" i="1"/>
  <c r="AB309" i="1" s="1"/>
  <c r="AC309" i="1" s="1"/>
  <c r="T309" i="1" s="1"/>
  <c r="Z312" i="1"/>
  <c r="AA313" i="1"/>
  <c r="AB313" i="1" s="1"/>
  <c r="AC313" i="1" s="1"/>
  <c r="T313" i="1" s="1"/>
  <c r="Z314" i="1"/>
  <c r="AA315" i="1"/>
  <c r="AB315" i="1" s="1"/>
  <c r="AC315" i="1" s="1"/>
  <c r="T315" i="1" s="1"/>
  <c r="AA324" i="1"/>
  <c r="AB324" i="1" s="1"/>
  <c r="AC324" i="1" s="1"/>
  <c r="T324" i="1" s="1"/>
  <c r="AA326" i="1"/>
  <c r="AB326" i="1" s="1"/>
  <c r="AC326" i="1" s="1"/>
  <c r="T326" i="1" s="1"/>
  <c r="AB330" i="1"/>
  <c r="AC330" i="1" s="1"/>
  <c r="T330" i="1" s="1"/>
  <c r="AB332" i="1"/>
  <c r="AC332" i="1" s="1"/>
  <c r="T332" i="1" s="1"/>
  <c r="AB334" i="1"/>
  <c r="AC334" i="1" s="1"/>
  <c r="T334" i="1" s="1"/>
  <c r="Z336" i="1"/>
  <c r="AB336" i="1" s="1"/>
  <c r="AC336" i="1" s="1"/>
  <c r="T336" i="1" s="1"/>
  <c r="AA312" i="1"/>
  <c r="AA314" i="1"/>
  <c r="AA318" i="1"/>
  <c r="AB318" i="1" s="1"/>
  <c r="AC318" i="1" s="1"/>
  <c r="T318" i="1" s="1"/>
  <c r="AA320" i="1"/>
  <c r="AB320" i="1" s="1"/>
  <c r="AC320" i="1" s="1"/>
  <c r="T320" i="1" s="1"/>
  <c r="AA322" i="1"/>
  <c r="AB322" i="1" s="1"/>
  <c r="AC322" i="1" s="1"/>
  <c r="T322" i="1" s="1"/>
  <c r="AA338" i="1"/>
  <c r="AB338" i="1" s="1"/>
  <c r="AC338" i="1" s="1"/>
  <c r="T338" i="1" s="1"/>
  <c r="AA342" i="1"/>
  <c r="AB342" i="1" s="1"/>
  <c r="AC342" i="1" s="1"/>
  <c r="T342" i="1" s="1"/>
  <c r="AA317" i="1"/>
  <c r="AB317" i="1" s="1"/>
  <c r="AC317" i="1" s="1"/>
  <c r="T317" i="1" s="1"/>
  <c r="AA319" i="1"/>
  <c r="AB319" i="1" s="1"/>
  <c r="AC319" i="1" s="1"/>
  <c r="T319" i="1" s="1"/>
  <c r="AA321" i="1"/>
  <c r="AB321" i="1" s="1"/>
  <c r="AC321" i="1" s="1"/>
  <c r="T321" i="1" s="1"/>
  <c r="AA325" i="1"/>
  <c r="AB325" i="1" s="1"/>
  <c r="AC325" i="1" s="1"/>
  <c r="T325" i="1" s="1"/>
  <c r="AA331" i="1"/>
  <c r="AB331" i="1" s="1"/>
  <c r="AC331" i="1" s="1"/>
  <c r="T331" i="1" s="1"/>
  <c r="AA333" i="1"/>
  <c r="AB333" i="1" s="1"/>
  <c r="AC333" i="1" s="1"/>
  <c r="T333" i="1" s="1"/>
  <c r="AA335" i="1"/>
  <c r="AB335" i="1" s="1"/>
  <c r="AC335" i="1" s="1"/>
  <c r="T335" i="1" s="1"/>
  <c r="AA337" i="1"/>
  <c r="AB337" i="1" s="1"/>
  <c r="AC337" i="1" s="1"/>
  <c r="T337" i="1" s="1"/>
  <c r="AA339" i="1"/>
  <c r="AB339" i="1" s="1"/>
  <c r="AC339" i="1" s="1"/>
  <c r="T339" i="1" s="1"/>
  <c r="AA341" i="1"/>
  <c r="AB341" i="1" s="1"/>
  <c r="AC341" i="1" s="1"/>
  <c r="T341" i="1" s="1"/>
  <c r="W3" i="4"/>
  <c r="U3" i="4"/>
  <c r="R3" i="4"/>
  <c r="T3" i="4"/>
  <c r="X3" i="4"/>
  <c r="V3" i="4"/>
  <c r="A13" i="1"/>
  <c r="B197" i="1"/>
  <c r="B225" i="1"/>
  <c r="B247" i="1"/>
  <c r="B250" i="1"/>
  <c r="B257" i="1"/>
  <c r="B260" i="1"/>
  <c r="B268" i="1"/>
  <c r="B286" i="1"/>
  <c r="B296" i="1"/>
  <c r="B298" i="1"/>
  <c r="B312" i="1"/>
  <c r="B317" i="1"/>
  <c r="B324" i="1" s="1"/>
  <c r="B330" i="1"/>
  <c r="W5" i="1"/>
  <c r="B10" i="1"/>
  <c r="B28" i="1" s="1"/>
  <c r="B6" i="1"/>
  <c r="J66" i="5" l="1"/>
  <c r="J104" i="5"/>
  <c r="K34" i="5"/>
  <c r="J32" i="5"/>
  <c r="G6" i="1"/>
  <c r="A6" i="1" s="1"/>
  <c r="W6" i="1" s="1"/>
  <c r="G10" i="1"/>
  <c r="A10" i="1" s="1"/>
  <c r="G28" i="1"/>
  <c r="A28" i="1" s="1"/>
  <c r="AA371" i="1"/>
  <c r="AB371" i="1" s="1"/>
  <c r="AC371" i="1" s="1"/>
  <c r="T371" i="1" s="1"/>
  <c r="AA363" i="1"/>
  <c r="AB363" i="1" s="1"/>
  <c r="AC363" i="1" s="1"/>
  <c r="T363" i="1" s="1"/>
  <c r="AA361" i="1"/>
  <c r="AB361" i="1" s="1"/>
  <c r="AC361" i="1" s="1"/>
  <c r="T361" i="1" s="1"/>
  <c r="AA362" i="1"/>
  <c r="AB362" i="1" s="1"/>
  <c r="AC362" i="1" s="1"/>
  <c r="T362" i="1" s="1"/>
  <c r="A67" i="1"/>
  <c r="AB259" i="1"/>
  <c r="AC259" i="1" s="1"/>
  <c r="T259" i="1" s="1"/>
  <c r="AD249" i="1"/>
  <c r="AD246" i="1"/>
  <c r="A70" i="1"/>
  <c r="G324" i="1"/>
  <c r="A324" i="1" s="1"/>
  <c r="G317" i="1"/>
  <c r="A317" i="1" s="1"/>
  <c r="W317" i="1" s="1"/>
  <c r="G312" i="1"/>
  <c r="A312" i="1" s="1"/>
  <c r="G298" i="1"/>
  <c r="A298" i="1" s="1"/>
  <c r="G296" i="1"/>
  <c r="A296" i="1" s="1"/>
  <c r="G286" i="1"/>
  <c r="A286" i="1" s="1"/>
  <c r="G268" i="1"/>
  <c r="A268" i="1" s="1"/>
  <c r="W268" i="1" s="1"/>
  <c r="G260" i="1"/>
  <c r="A260" i="1" s="1"/>
  <c r="G257" i="1"/>
  <c r="A257" i="1" s="1"/>
  <c r="W257" i="1" s="1"/>
  <c r="G250" i="1"/>
  <c r="A250" i="1" s="1"/>
  <c r="G247" i="1"/>
  <c r="A247" i="1" s="1"/>
  <c r="G225" i="1"/>
  <c r="A225" i="1" s="1"/>
  <c r="W225" i="1" s="1"/>
  <c r="G197" i="1"/>
  <c r="A197" i="1" s="1"/>
  <c r="W197" i="1" s="1"/>
  <c r="G196" i="1"/>
  <c r="A196" i="1" s="1"/>
  <c r="G330" i="1"/>
  <c r="A330" i="1" s="1"/>
  <c r="W330" i="1" s="1"/>
  <c r="AB245" i="1"/>
  <c r="AC245" i="1" s="1"/>
  <c r="T245" i="1" s="1"/>
  <c r="AB241" i="1"/>
  <c r="AC241" i="1" s="1"/>
  <c r="T241" i="1" s="1"/>
  <c r="AB198" i="1"/>
  <c r="AC198" i="1" s="1"/>
  <c r="T198" i="1" s="1"/>
  <c r="AB257" i="1"/>
  <c r="AC257" i="1" s="1"/>
  <c r="T257" i="1" s="1"/>
  <c r="AB243" i="1"/>
  <c r="AC243" i="1" s="1"/>
  <c r="T243" i="1" s="1"/>
  <c r="AB13" i="1"/>
  <c r="AC13" i="1" s="1"/>
  <c r="T13" i="1" s="1"/>
  <c r="AB314" i="1"/>
  <c r="AC314" i="1" s="1"/>
  <c r="T314" i="1" s="1"/>
  <c r="AB312" i="1"/>
  <c r="AC312" i="1" s="1"/>
  <c r="T312" i="1" s="1"/>
  <c r="AB265" i="1"/>
  <c r="AC265" i="1" s="1"/>
  <c r="T265" i="1" s="1"/>
  <c r="AB263" i="1"/>
  <c r="AC263" i="1" s="1"/>
  <c r="T263" i="1" s="1"/>
  <c r="AB261" i="1"/>
  <c r="AC261" i="1" s="1"/>
  <c r="T261" i="1" s="1"/>
  <c r="AB234" i="1"/>
  <c r="AC234" i="1" s="1"/>
  <c r="T234" i="1" s="1"/>
  <c r="AB225" i="1"/>
  <c r="AC225" i="1" s="1"/>
  <c r="T225" i="1" s="1"/>
  <c r="AB202" i="1"/>
  <c r="AC202" i="1" s="1"/>
  <c r="T202" i="1" s="1"/>
  <c r="AB194" i="1"/>
  <c r="AC194" i="1" s="1"/>
  <c r="T194" i="1" s="1"/>
  <c r="AB70" i="1"/>
  <c r="AC70" i="1" s="1"/>
  <c r="T70" i="1" s="1"/>
  <c r="W324" i="1"/>
  <c r="W305" i="1"/>
  <c r="W287" i="1"/>
  <c r="B341" i="1"/>
  <c r="W266" i="1"/>
  <c r="W272" i="1"/>
  <c r="B344" i="1"/>
  <c r="B176" i="1"/>
  <c r="B190" i="1"/>
  <c r="B38" i="1"/>
  <c r="W29" i="1"/>
  <c r="K106" i="5" l="1"/>
  <c r="K68" i="5"/>
  <c r="G38" i="1"/>
  <c r="A38" i="1" s="1"/>
  <c r="G190" i="1"/>
  <c r="A190" i="1" s="1"/>
  <c r="W190" i="1" s="1"/>
  <c r="G176" i="1"/>
  <c r="A176" i="1" s="1"/>
  <c r="W176" i="1" s="1"/>
  <c r="AD196" i="1"/>
  <c r="G341" i="1"/>
  <c r="A341" i="1" s="1"/>
  <c r="G344" i="1"/>
  <c r="A344" i="1" s="1"/>
  <c r="W319" i="1"/>
  <c r="W234" i="1"/>
  <c r="W300" i="1"/>
  <c r="B347" i="1"/>
  <c r="W243" i="1"/>
  <c r="W252" i="1"/>
  <c r="B349" i="1"/>
  <c r="B353" i="1"/>
  <c r="B363" i="1"/>
  <c r="B366" i="1"/>
  <c r="B194" i="1"/>
  <c r="B198" i="1"/>
  <c r="W191" i="1"/>
  <c r="B201" i="1"/>
  <c r="B204" i="1" s="1"/>
  <c r="B226" i="1"/>
  <c r="B235" i="1"/>
  <c r="B240" i="1" s="1"/>
  <c r="W39" i="1"/>
  <c r="B84" i="1"/>
  <c r="B88" i="1" s="1"/>
  <c r="W7" i="1"/>
  <c r="K72" i="5" l="1"/>
  <c r="J70" i="5"/>
  <c r="K110" i="5"/>
  <c r="J108" i="5"/>
  <c r="A69" i="1"/>
  <c r="A66" i="1"/>
  <c r="A64" i="1"/>
  <c r="A78" i="1"/>
  <c r="G88" i="1"/>
  <c r="A88" i="1" s="1"/>
  <c r="G84" i="1"/>
  <c r="A84" i="1" s="1"/>
  <c r="G201" i="1"/>
  <c r="A201" i="1" s="1"/>
  <c r="W201" i="1" s="1"/>
  <c r="G198" i="1"/>
  <c r="A198" i="1" s="1"/>
  <c r="W198" i="1" s="1"/>
  <c r="G194" i="1"/>
  <c r="A194" i="1" s="1"/>
  <c r="W194" i="1" s="1"/>
  <c r="G204" i="1"/>
  <c r="A204" i="1" s="1"/>
  <c r="W204" i="1" s="1"/>
  <c r="G226" i="1"/>
  <c r="A226" i="1" s="1"/>
  <c r="W226" i="1" s="1"/>
  <c r="G235" i="1"/>
  <c r="A235" i="1" s="1"/>
  <c r="W235" i="1" s="1"/>
  <c r="G240" i="1"/>
  <c r="A240" i="1" s="1"/>
  <c r="W240" i="1" s="1"/>
  <c r="G349" i="1"/>
  <c r="A349" i="1" s="1"/>
  <c r="G347" i="1"/>
  <c r="A347" i="1" s="1"/>
  <c r="G366" i="1"/>
  <c r="A366" i="1" s="1"/>
  <c r="G363" i="1"/>
  <c r="A363" i="1" s="1"/>
  <c r="G353" i="1"/>
  <c r="A353" i="1" s="1"/>
  <c r="W353" i="1" s="1"/>
  <c r="W364" i="1"/>
  <c r="W322" i="1"/>
  <c r="B373" i="1"/>
  <c r="B376" i="1"/>
  <c r="W370" i="1"/>
  <c r="W351" i="1"/>
  <c r="W327" i="1"/>
  <c r="B378" i="1"/>
  <c r="B380" i="1"/>
  <c r="B382" i="1" s="1"/>
  <c r="W199" i="1"/>
  <c r="W205" i="1"/>
  <c r="W227" i="1"/>
  <c r="W202" i="1"/>
  <c r="W236" i="1"/>
  <c r="B244" i="1"/>
  <c r="W195" i="1"/>
  <c r="W196" i="1" s="1"/>
  <c r="W206" i="1"/>
  <c r="B253" i="1"/>
  <c r="W241" i="1"/>
  <c r="B258" i="1"/>
  <c r="B265" i="1"/>
  <c r="W79" i="1"/>
  <c r="B91" i="1"/>
  <c r="B94" i="1"/>
  <c r="B108" i="1"/>
  <c r="B114" i="1"/>
  <c r="B118" i="1"/>
  <c r="B140" i="1" s="1"/>
  <c r="W8" i="1"/>
  <c r="G118" i="1" l="1"/>
  <c r="A118" i="1" s="1"/>
  <c r="G114" i="1"/>
  <c r="A114" i="1" s="1"/>
  <c r="W114" i="1" s="1"/>
  <c r="G140" i="1"/>
  <c r="A140" i="1" s="1"/>
  <c r="G108" i="1"/>
  <c r="A108" i="1" s="1"/>
  <c r="W108" i="1" s="1"/>
  <c r="G94" i="1"/>
  <c r="A94" i="1" s="1"/>
  <c r="G91" i="1"/>
  <c r="A91" i="1" s="1"/>
  <c r="G244" i="1"/>
  <c r="A244" i="1" s="1"/>
  <c r="W244" i="1" s="1"/>
  <c r="G253" i="1"/>
  <c r="A253" i="1" s="1"/>
  <c r="W253" i="1" s="1"/>
  <c r="G258" i="1"/>
  <c r="A258" i="1" s="1"/>
  <c r="W258" i="1" s="1"/>
  <c r="G265" i="1"/>
  <c r="A265" i="1" s="1"/>
  <c r="W265" i="1" s="1"/>
  <c r="G382" i="1"/>
  <c r="A382" i="1" s="1"/>
  <c r="W382" i="1" s="1"/>
  <c r="G380" i="1"/>
  <c r="A380" i="1" s="1"/>
  <c r="W380" i="1" s="1"/>
  <c r="G378" i="1"/>
  <c r="A378" i="1" s="1"/>
  <c r="W378" i="1" s="1"/>
  <c r="G373" i="1"/>
  <c r="A373" i="1" s="1"/>
  <c r="W373" i="1" s="1"/>
  <c r="G376" i="1"/>
  <c r="A376" i="1" s="1"/>
  <c r="W376" i="1" s="1"/>
  <c r="B385" i="1"/>
  <c r="W383" i="1"/>
  <c r="W355" i="1"/>
  <c r="W308" i="1"/>
  <c r="W374" i="1"/>
  <c r="B393" i="1"/>
  <c r="W245" i="1"/>
  <c r="W254" i="1"/>
  <c r="W207" i="1"/>
  <c r="W242" i="1"/>
  <c r="W259" i="1"/>
  <c r="B267" i="1"/>
  <c r="W228" i="1"/>
  <c r="W246" i="1"/>
  <c r="B269" i="1"/>
  <c r="B271" i="1" s="1"/>
  <c r="B149" i="1"/>
  <c r="B151" i="1" s="1"/>
  <c r="W112" i="1"/>
  <c r="B153" i="1"/>
  <c r="W95" i="1"/>
  <c r="B155" i="1"/>
  <c r="B157" i="1" s="1"/>
  <c r="W9" i="1"/>
  <c r="B167" i="1" l="1"/>
  <c r="G167" i="1" s="1"/>
  <c r="A167" i="1" s="1"/>
  <c r="G157" i="1"/>
  <c r="A157" i="1" s="1"/>
  <c r="G155" i="1"/>
  <c r="A155" i="1" s="1"/>
  <c r="G153" i="1"/>
  <c r="A153" i="1" s="1"/>
  <c r="G151" i="1"/>
  <c r="A151" i="1" s="1"/>
  <c r="G149" i="1"/>
  <c r="A149" i="1" s="1"/>
  <c r="G267" i="1"/>
  <c r="A267" i="1" s="1"/>
  <c r="W267" i="1" s="1"/>
  <c r="G271" i="1"/>
  <c r="A271" i="1" s="1"/>
  <c r="W271" i="1" s="1"/>
  <c r="G269" i="1"/>
  <c r="A269" i="1" s="1"/>
  <c r="W269" i="1" s="1"/>
  <c r="G393" i="1"/>
  <c r="A393" i="1" s="1"/>
  <c r="W393" i="1" s="1"/>
  <c r="G385" i="1"/>
  <c r="A385" i="1" s="1"/>
  <c r="W385" i="1" s="1"/>
  <c r="W394" i="1"/>
  <c r="W386" i="1"/>
  <c r="W387" i="1" s="1"/>
  <c r="W388" i="1" s="1"/>
  <c r="W389" i="1" s="1"/>
  <c r="W390" i="1" s="1"/>
  <c r="W391" i="1" s="1"/>
  <c r="W260" i="1"/>
  <c r="W261" i="1"/>
  <c r="W247" i="1"/>
  <c r="B273" i="1"/>
  <c r="W182" i="1"/>
  <c r="W208" i="1"/>
  <c r="W229" i="1"/>
  <c r="W255" i="1"/>
  <c r="B288" i="1"/>
  <c r="B301" i="1"/>
  <c r="B304" i="1"/>
  <c r="B306" i="1" s="1"/>
  <c r="W167" i="1"/>
  <c r="B159" i="1"/>
  <c r="W10" i="1"/>
  <c r="W132" i="1" l="1"/>
  <c r="G159" i="1"/>
  <c r="A159" i="1" s="1"/>
  <c r="G288" i="1"/>
  <c r="A288" i="1" s="1"/>
  <c r="W288" i="1" s="1"/>
  <c r="G273" i="1"/>
  <c r="A273" i="1" s="1"/>
  <c r="W273" i="1" s="1"/>
  <c r="G304" i="1"/>
  <c r="A304" i="1" s="1"/>
  <c r="W304" i="1" s="1"/>
  <c r="G301" i="1"/>
  <c r="A301" i="1" s="1"/>
  <c r="W301" i="1" s="1"/>
  <c r="G306" i="1"/>
  <c r="A306" i="1" s="1"/>
  <c r="W306" i="1" s="1"/>
  <c r="W274" i="1"/>
  <c r="W230" i="1"/>
  <c r="W302" i="1"/>
  <c r="W307" i="1"/>
  <c r="W209" i="1"/>
  <c r="W210" i="1" s="1"/>
  <c r="W211" i="1" s="1"/>
  <c r="W212" i="1" s="1"/>
  <c r="W183" i="1"/>
  <c r="W184" i="1" s="1"/>
  <c r="W256" i="1"/>
  <c r="W275" i="1"/>
  <c r="B309" i="1"/>
  <c r="W262" i="1"/>
  <c r="W289" i="1"/>
  <c r="W248" i="1"/>
  <c r="W249" i="1" s="1"/>
  <c r="B318" i="1"/>
  <c r="B320" i="1"/>
  <c r="W160" i="1"/>
  <c r="W16" i="1"/>
  <c r="W11" i="1"/>
  <c r="G309" i="1" l="1"/>
  <c r="A309" i="1" s="1"/>
  <c r="W309" i="1" s="1"/>
  <c r="G318" i="1"/>
  <c r="A318" i="1" s="1"/>
  <c r="W318" i="1" s="1"/>
  <c r="G320" i="1"/>
  <c r="A320" i="1" s="1"/>
  <c r="W320" i="1" s="1"/>
  <c r="B323" i="1"/>
  <c r="W213" i="1"/>
  <c r="W276" i="1"/>
  <c r="W310" i="1"/>
  <c r="W311" i="1"/>
  <c r="W277" i="1"/>
  <c r="W290" i="1"/>
  <c r="W250" i="1"/>
  <c r="W321" i="1"/>
  <c r="B325" i="1"/>
  <c r="W263" i="1"/>
  <c r="B328" i="1"/>
  <c r="B331" i="1" s="1"/>
  <c r="B337" i="1"/>
  <c r="W12" i="1"/>
  <c r="G323" i="1" l="1"/>
  <c r="A323" i="1" s="1"/>
  <c r="W323" i="1" s="1"/>
  <c r="G337" i="1"/>
  <c r="A337" i="1" s="1"/>
  <c r="W337" i="1" s="1"/>
  <c r="G331" i="1"/>
  <c r="A331" i="1" s="1"/>
  <c r="W331" i="1" s="1"/>
  <c r="G328" i="1"/>
  <c r="A328" i="1" s="1"/>
  <c r="W328" i="1" s="1"/>
  <c r="G325" i="1"/>
  <c r="A325" i="1" s="1"/>
  <c r="W325" i="1" s="1"/>
  <c r="W312" i="1"/>
  <c r="W251" i="1"/>
  <c r="W291" i="1"/>
  <c r="W338" i="1"/>
  <c r="B352" i="1"/>
  <c r="W278" i="1"/>
  <c r="W326" i="1"/>
  <c r="W214" i="1"/>
  <c r="B354" i="1"/>
  <c r="B356" i="1"/>
  <c r="W332" i="1"/>
  <c r="W329" i="1"/>
  <c r="B358" i="1"/>
  <c r="B361" i="1"/>
  <c r="B365" i="1"/>
  <c r="B369" i="1" s="1"/>
  <c r="W36" i="1"/>
  <c r="W13" i="1"/>
  <c r="W14" i="1"/>
  <c r="G369" i="1" l="1"/>
  <c r="A369" i="1" s="1"/>
  <c r="W369" i="1" s="1"/>
  <c r="G365" i="1"/>
  <c r="A365" i="1" s="1"/>
  <c r="W365" i="1" s="1"/>
  <c r="G361" i="1"/>
  <c r="A361" i="1" s="1"/>
  <c r="W361" i="1" s="1"/>
  <c r="G352" i="1"/>
  <c r="A352" i="1" s="1"/>
  <c r="W352" i="1" s="1"/>
  <c r="G354" i="1"/>
  <c r="A354" i="1" s="1"/>
  <c r="W354" i="1" s="1"/>
  <c r="G358" i="1"/>
  <c r="A358" i="1" s="1"/>
  <c r="W358" i="1" s="1"/>
  <c r="G356" i="1"/>
  <c r="A356" i="1" s="1"/>
  <c r="W356" i="1" s="1"/>
  <c r="W336" i="1"/>
  <c r="X336" i="1" s="1"/>
  <c r="X394" i="1"/>
  <c r="X393" i="1"/>
  <c r="X386" i="1"/>
  <c r="AD385" i="1"/>
  <c r="X383" i="1"/>
  <c r="X364" i="1"/>
  <c r="X391" i="1"/>
  <c r="X389" i="1"/>
  <c r="X382" i="1"/>
  <c r="X378" i="1"/>
  <c r="AD376" i="1"/>
  <c r="X305" i="1"/>
  <c r="X257" i="1"/>
  <c r="X300" i="1"/>
  <c r="X225" i="1"/>
  <c r="X243" i="1"/>
  <c r="X197" i="1"/>
  <c r="X319" i="1"/>
  <c r="AD268" i="1"/>
  <c r="AD344" i="1"/>
  <c r="X376" i="1"/>
  <c r="X272" i="1"/>
  <c r="AD353" i="1"/>
  <c r="AD225" i="1"/>
  <c r="AD260" i="1"/>
  <c r="X268" i="1"/>
  <c r="X252" i="1"/>
  <c r="X308" i="1"/>
  <c r="AD324" i="1"/>
  <c r="AD286" i="1"/>
  <c r="AD247" i="1"/>
  <c r="AD257" i="1"/>
  <c r="X387" i="1"/>
  <c r="X385" i="1"/>
  <c r="AD380" i="1"/>
  <c r="X374" i="1"/>
  <c r="AD393" i="1"/>
  <c r="X390" i="1"/>
  <c r="X388" i="1"/>
  <c r="AD382" i="1"/>
  <c r="X380" i="1"/>
  <c r="AD378" i="1"/>
  <c r="X370" i="1"/>
  <c r="AD296" i="1"/>
  <c r="X351" i="1"/>
  <c r="AD330" i="1"/>
  <c r="AD197" i="1"/>
  <c r="AD363" i="1"/>
  <c r="X324" i="1"/>
  <c r="X353" i="1"/>
  <c r="AD317" i="1"/>
  <c r="X373" i="1"/>
  <c r="X266" i="1"/>
  <c r="X322" i="1"/>
  <c r="AD349" i="1"/>
  <c r="AD298" i="1"/>
  <c r="AD366" i="1"/>
  <c r="X330" i="1"/>
  <c r="X317" i="1"/>
  <c r="AD373" i="1"/>
  <c r="X355" i="1"/>
  <c r="X327" i="1"/>
  <c r="AD347" i="1"/>
  <c r="X234" i="1"/>
  <c r="AD341" i="1"/>
  <c r="X287" i="1"/>
  <c r="AD312" i="1"/>
  <c r="AD250" i="1"/>
  <c r="B371" i="1"/>
  <c r="W366" i="1"/>
  <c r="W313" i="1"/>
  <c r="W333" i="1"/>
  <c r="W314" i="1"/>
  <c r="W292" i="1"/>
  <c r="W293" i="1" s="1"/>
  <c r="W294" i="1" s="1"/>
  <c r="W362" i="1"/>
  <c r="W363" i="1" s="1"/>
  <c r="W339" i="1"/>
  <c r="W359" i="1"/>
  <c r="W215" i="1"/>
  <c r="W279" i="1"/>
  <c r="W367" i="1"/>
  <c r="W24" i="1"/>
  <c r="W49" i="1"/>
  <c r="W138" i="1"/>
  <c r="W15" i="1"/>
  <c r="G371" i="1" l="1"/>
  <c r="A371" i="1" s="1"/>
  <c r="W371" i="1" s="1"/>
  <c r="W280" i="1"/>
  <c r="W340" i="1"/>
  <c r="W334" i="1"/>
  <c r="W295" i="1"/>
  <c r="W281" i="1"/>
  <c r="W282" i="1" s="1"/>
  <c r="W315" i="1"/>
  <c r="W316" i="1"/>
  <c r="W341" i="1" l="1"/>
  <c r="W342" i="1" s="1"/>
  <c r="W283" i="1"/>
  <c r="W296" i="1"/>
  <c r="W335" i="1"/>
  <c r="W297" i="1"/>
  <c r="W284" i="1" l="1"/>
  <c r="W343" i="1"/>
  <c r="W344" i="1"/>
  <c r="W285" i="1"/>
  <c r="W298" i="1"/>
  <c r="W299" i="1"/>
  <c r="W286" i="1"/>
  <c r="W345" i="1"/>
  <c r="W346" i="1"/>
  <c r="W347" i="1"/>
  <c r="W348" i="1"/>
  <c r="W349" i="1"/>
  <c r="W350" i="1"/>
  <c r="W105" i="1"/>
  <c r="X350" i="1" l="1"/>
  <c r="X349" i="1"/>
  <c r="X348" i="1"/>
  <c r="X347" i="1"/>
  <c r="X346" i="1"/>
  <c r="X345" i="1"/>
  <c r="X286" i="1"/>
  <c r="X299" i="1"/>
  <c r="X298" i="1"/>
  <c r="X285" i="1"/>
  <c r="X344" i="1"/>
  <c r="X343" i="1"/>
  <c r="X371" i="1"/>
  <c r="AD369" i="1"/>
  <c r="X367" i="1"/>
  <c r="X366" i="1"/>
  <c r="X361" i="1"/>
  <c r="AD361" i="1"/>
  <c r="X240" i="1"/>
  <c r="X331" i="1"/>
  <c r="X311" i="1"/>
  <c r="X256" i="1"/>
  <c r="X302" i="1"/>
  <c r="AD356" i="1"/>
  <c r="AD318" i="1"/>
  <c r="X321" i="1"/>
  <c r="AD258" i="1"/>
  <c r="X358" i="1"/>
  <c r="X250" i="1"/>
  <c r="X242" i="1"/>
  <c r="AD288" i="1"/>
  <c r="X294" i="1"/>
  <c r="AD240" i="1"/>
  <c r="X332" i="1"/>
  <c r="X320" i="1"/>
  <c r="X309" i="1"/>
  <c r="AD354" i="1"/>
  <c r="AD306" i="1"/>
  <c r="X261" i="1"/>
  <c r="X182" i="1"/>
  <c r="X356" i="1"/>
  <c r="X206" i="1"/>
  <c r="AD176" i="1"/>
  <c r="X341" i="1"/>
  <c r="X246" i="1"/>
  <c r="AD328" i="1"/>
  <c r="X325" i="1"/>
  <c r="X284" i="1"/>
  <c r="X289" i="1"/>
  <c r="X339" i="1"/>
  <c r="AD273" i="1"/>
  <c r="X316" i="1"/>
  <c r="X245" i="1"/>
  <c r="AD371" i="1"/>
  <c r="X369" i="1"/>
  <c r="X342" i="1"/>
  <c r="AD235" i="1"/>
  <c r="X241" i="1"/>
  <c r="X265" i="1"/>
  <c r="X249" i="1"/>
  <c r="AD323" i="1"/>
  <c r="X282" i="1"/>
  <c r="AD244" i="1"/>
  <c r="X194" i="1"/>
  <c r="X254" i="1"/>
  <c r="AD325" i="1"/>
  <c r="X276" i="1"/>
  <c r="X184" i="1"/>
  <c r="X201" i="1"/>
  <c r="AD365" i="1"/>
  <c r="X363" i="1"/>
  <c r="X226" i="1"/>
  <c r="AD265" i="1"/>
  <c r="AD301" i="1"/>
  <c r="X334" i="1"/>
  <c r="X198" i="1"/>
  <c r="X258" i="1"/>
  <c r="X295" i="1"/>
  <c r="X329" i="1"/>
  <c r="X210" i="1"/>
  <c r="X230" i="1"/>
  <c r="X269" i="1"/>
  <c r="X315" i="1"/>
  <c r="X176" i="1"/>
  <c r="X359" i="1"/>
  <c r="X204" i="1"/>
  <c r="AD204" i="1"/>
  <c r="X229" i="1"/>
  <c r="X236" i="1"/>
  <c r="X333" i="1"/>
  <c r="X267" i="1"/>
  <c r="AD194" i="1"/>
  <c r="X290" i="1"/>
  <c r="X235" i="1"/>
  <c r="AD269" i="1"/>
  <c r="AD309" i="1"/>
  <c r="X260" i="1"/>
  <c r="X318" i="1"/>
  <c r="X326" i="1"/>
  <c r="AD304" i="1"/>
  <c r="AD320" i="1"/>
  <c r="X271" i="1"/>
  <c r="X340" i="1"/>
  <c r="X244" i="1"/>
  <c r="X280" i="1"/>
  <c r="X259" i="1"/>
  <c r="X328" i="1"/>
  <c r="AD267" i="1"/>
  <c r="X191" i="1"/>
  <c r="X352" i="1"/>
  <c r="X253" i="1"/>
  <c r="X199" i="1"/>
  <c r="X251" i="1"/>
  <c r="AD201" i="1"/>
  <c r="X275" i="1"/>
  <c r="X211" i="1"/>
  <c r="X323" i="1"/>
  <c r="X183" i="1"/>
  <c r="X281" i="1"/>
  <c r="X337" i="1"/>
  <c r="X215" i="1"/>
  <c r="X278" i="1"/>
  <c r="X247" i="1"/>
  <c r="X292" i="1"/>
  <c r="AD271" i="1"/>
  <c r="AD331" i="1"/>
  <c r="X205" i="1"/>
  <c r="X262" i="1"/>
  <c r="AD253" i="1"/>
  <c r="X277" i="1"/>
  <c r="X354" i="1"/>
  <c r="X255" i="1"/>
  <c r="X301" i="1"/>
  <c r="X365" i="1"/>
  <c r="X362" i="1"/>
  <c r="X297" i="1"/>
  <c r="X208" i="1"/>
  <c r="AD190" i="1"/>
  <c r="X306" i="1"/>
  <c r="X312" i="1"/>
  <c r="X288" i="1"/>
  <c r="AD358" i="1"/>
  <c r="X195" i="1"/>
  <c r="X228" i="1"/>
  <c r="X283" i="1"/>
  <c r="X273" i="1"/>
  <c r="X314" i="1"/>
  <c r="X310" i="1"/>
  <c r="X304" i="1"/>
  <c r="X296" i="1"/>
  <c r="X227" i="1"/>
  <c r="X338" i="1"/>
  <c r="X291" i="1"/>
  <c r="X293" i="1"/>
  <c r="X313" i="1"/>
  <c r="X207" i="1"/>
  <c r="X213" i="1"/>
  <c r="X212" i="1"/>
  <c r="X274" i="1"/>
  <c r="AD337" i="1"/>
  <c r="X248" i="1"/>
  <c r="X307" i="1"/>
  <c r="X190" i="1"/>
  <c r="X209" i="1"/>
  <c r="AD352" i="1"/>
  <c r="X263" i="1"/>
  <c r="AD198" i="1"/>
  <c r="X335" i="1"/>
  <c r="X196" i="1"/>
  <c r="AD13" i="1"/>
  <c r="X214" i="1"/>
  <c r="X279" i="1"/>
  <c r="X202" i="1"/>
  <c r="AD226" i="1"/>
  <c r="X167" i="1" l="1"/>
  <c r="AD167" i="1"/>
  <c r="AD151" i="1"/>
  <c r="AD153" i="1"/>
  <c r="AD155" i="1"/>
  <c r="AD157" i="1"/>
  <c r="AD149" i="1"/>
  <c r="X138" i="1"/>
  <c r="X132" i="1"/>
  <c r="AD118" i="1"/>
  <c r="X114" i="1"/>
  <c r="AD114" i="1"/>
  <c r="X112" i="1"/>
  <c r="X108" i="1"/>
  <c r="X105" i="1"/>
  <c r="X95" i="1"/>
  <c r="AD91" i="1"/>
  <c r="AD84" i="1"/>
  <c r="X79" i="1"/>
  <c r="X39" i="1"/>
  <c r="X49" i="1"/>
  <c r="AD38" i="1"/>
  <c r="X36" i="1"/>
  <c r="X5" i="1"/>
  <c r="AD140" i="1"/>
  <c r="AD28" i="1"/>
  <c r="X29" i="1"/>
  <c r="X24" i="1"/>
  <c r="X16" i="1"/>
  <c r="AD10" i="1"/>
  <c r="AD88" i="1"/>
  <c r="AD108" i="1"/>
  <c r="AD94" i="1"/>
  <c r="X160" i="1"/>
  <c r="AD159" i="1"/>
  <c r="B17" i="1"/>
  <c r="G17" i="1" l="1"/>
  <c r="A17" i="1" s="1"/>
  <c r="B20" i="1"/>
  <c r="G20" i="1" l="1"/>
  <c r="A20" i="1" s="1"/>
  <c r="W20" i="1" s="1"/>
  <c r="W17" i="1"/>
  <c r="B25" i="1"/>
  <c r="W18" i="1"/>
  <c r="W21" i="1"/>
  <c r="B30" i="1"/>
  <c r="B37" i="1"/>
  <c r="G30" i="1" l="1"/>
  <c r="A30" i="1" s="1"/>
  <c r="W30" i="1" s="1"/>
  <c r="G25" i="1"/>
  <c r="A25" i="1" s="1"/>
  <c r="W25" i="1" s="1"/>
  <c r="G37" i="1"/>
  <c r="A37" i="1" s="1"/>
  <c r="W37" i="1" s="1"/>
  <c r="W31" i="1"/>
  <c r="W38" i="1"/>
  <c r="W22" i="1"/>
  <c r="W26" i="1"/>
  <c r="W27" i="1" s="1"/>
  <c r="B40" i="1"/>
  <c r="B50" i="1"/>
  <c r="G50" i="1" l="1"/>
  <c r="A50" i="1" s="1"/>
  <c r="W50" i="1" s="1"/>
  <c r="G40" i="1"/>
  <c r="A40" i="1" s="1"/>
  <c r="W40" i="1" s="1"/>
  <c r="B55" i="1"/>
  <c r="W51" i="1"/>
  <c r="W23" i="1"/>
  <c r="W28" i="1"/>
  <c r="W32" i="1"/>
  <c r="W41" i="1"/>
  <c r="G55" i="1" l="1"/>
  <c r="A55" i="1" s="1"/>
  <c r="W55" i="1" s="1"/>
  <c r="W62" i="1"/>
  <c r="B63" i="1"/>
  <c r="W52" i="1"/>
  <c r="W56" i="1"/>
  <c r="B80" i="1"/>
  <c r="W33" i="1"/>
  <c r="W42" i="1"/>
  <c r="B96" i="1"/>
  <c r="G96" i="1" l="1"/>
  <c r="A96" i="1" s="1"/>
  <c r="W96" i="1" s="1"/>
  <c r="G80" i="1"/>
  <c r="A80" i="1" s="1"/>
  <c r="W80" i="1" s="1"/>
  <c r="G63" i="1"/>
  <c r="A63" i="1" s="1"/>
  <c r="W63" i="1" s="1"/>
  <c r="W43" i="1"/>
  <c r="W57" i="1"/>
  <c r="B106" i="1"/>
  <c r="W34" i="1"/>
  <c r="W53" i="1"/>
  <c r="W81" i="1"/>
  <c r="W97" i="1"/>
  <c r="B109" i="1"/>
  <c r="G109" i="1" l="1"/>
  <c r="A109" i="1" s="1"/>
  <c r="W109" i="1" s="1"/>
  <c r="G106" i="1"/>
  <c r="A106" i="1" s="1"/>
  <c r="W98" i="1"/>
  <c r="W82" i="1"/>
  <c r="W35" i="1"/>
  <c r="B111" i="1"/>
  <c r="W44" i="1"/>
  <c r="W58" i="1"/>
  <c r="W64" i="1"/>
  <c r="B113" i="1"/>
  <c r="G113" i="1" l="1"/>
  <c r="A113" i="1" s="1"/>
  <c r="G111" i="1"/>
  <c r="A111" i="1" s="1"/>
  <c r="W111" i="1" s="1"/>
  <c r="W106" i="1"/>
  <c r="B115" i="1"/>
  <c r="W59" i="1"/>
  <c r="W65" i="1"/>
  <c r="W107" i="1"/>
  <c r="W45" i="1"/>
  <c r="W83" i="1"/>
  <c r="W99" i="1"/>
  <c r="B124" i="1" l="1"/>
  <c r="G124" i="1"/>
  <c r="A124" i="1" s="1"/>
  <c r="G115" i="1"/>
  <c r="A115" i="1" s="1"/>
  <c r="W113" i="1"/>
  <c r="X62" i="1"/>
  <c r="W66" i="1"/>
  <c r="W46" i="1"/>
  <c r="W60" i="1"/>
  <c r="W61" i="1" s="1"/>
  <c r="W100" i="1"/>
  <c r="W84" i="1"/>
  <c r="W115" i="1" l="1"/>
  <c r="W116" i="1" s="1"/>
  <c r="W117" i="1" s="1"/>
  <c r="W118" i="1" s="1"/>
  <c r="W119" i="1" s="1"/>
  <c r="W124" i="1" s="1"/>
  <c r="B126" i="1"/>
  <c r="B128" i="1"/>
  <c r="G128" i="1" s="1"/>
  <c r="A128" i="1" s="1"/>
  <c r="B130" i="1"/>
  <c r="G130" i="1" s="1"/>
  <c r="A130" i="1" s="1"/>
  <c r="B133" i="1"/>
  <c r="G133" i="1" s="1"/>
  <c r="A133" i="1" s="1"/>
  <c r="W133" i="1" s="1"/>
  <c r="W134" i="1" s="1"/>
  <c r="AD66" i="1"/>
  <c r="AD65" i="1"/>
  <c r="AD77" i="1"/>
  <c r="AD75" i="1"/>
  <c r="AD73" i="1"/>
  <c r="AD71" i="1"/>
  <c r="AD69" i="1"/>
  <c r="AD64" i="1"/>
  <c r="AD68" i="1"/>
  <c r="AD78" i="1"/>
  <c r="AD76" i="1"/>
  <c r="AD74" i="1"/>
  <c r="AD72" i="1"/>
  <c r="AD70" i="1"/>
  <c r="AD67" i="1"/>
  <c r="B135" i="1" l="1"/>
  <c r="G126" i="1"/>
  <c r="A126" i="1" s="1"/>
  <c r="W47" i="1"/>
  <c r="W67" i="1"/>
  <c r="W101" i="1"/>
  <c r="W85" i="1"/>
  <c r="W86" i="1"/>
  <c r="W87" i="1" s="1"/>
  <c r="W88" i="1" s="1"/>
  <c r="W48" i="1"/>
  <c r="G135" i="1" l="1"/>
  <c r="A135" i="1" s="1"/>
  <c r="B139" i="1"/>
  <c r="W135" i="1"/>
  <c r="W89" i="1"/>
  <c r="W90" i="1" s="1"/>
  <c r="W68" i="1"/>
  <c r="W102" i="1"/>
  <c r="W103" i="1"/>
  <c r="W104" i="1" s="1"/>
  <c r="W69" i="1"/>
  <c r="W70" i="1" s="1"/>
  <c r="W71" i="1" s="1"/>
  <c r="B141" i="1" l="1"/>
  <c r="G139" i="1"/>
  <c r="A139" i="1" s="1"/>
  <c r="W136" i="1"/>
  <c r="W137" i="1" s="1"/>
  <c r="W72" i="1"/>
  <c r="W91" i="1"/>
  <c r="W73" i="1"/>
  <c r="W92" i="1"/>
  <c r="W93" i="1"/>
  <c r="W94" i="1"/>
  <c r="W74" i="1"/>
  <c r="W75" i="1"/>
  <c r="W76" i="1"/>
  <c r="W77" i="1"/>
  <c r="W78" i="1"/>
  <c r="G141" i="1" l="1"/>
  <c r="A141" i="1" s="1"/>
  <c r="B142" i="1"/>
  <c r="W139" i="1"/>
  <c r="AD135" i="1"/>
  <c r="G142" i="1" l="1"/>
  <c r="A142" i="1" s="1"/>
  <c r="B143" i="1"/>
  <c r="W140" i="1"/>
  <c r="G143" i="1" l="1"/>
  <c r="A143" i="1" s="1"/>
  <c r="B144" i="1"/>
  <c r="W142" i="1"/>
  <c r="G144" i="1" l="1"/>
  <c r="A144" i="1" s="1"/>
  <c r="B150" i="1"/>
  <c r="X142" i="1"/>
  <c r="G150" i="1" l="1"/>
  <c r="A150" i="1" s="1"/>
  <c r="B152" i="1"/>
  <c r="G152" i="1" l="1"/>
  <c r="A152" i="1" s="1"/>
  <c r="B161" i="1"/>
  <c r="W150" i="1"/>
  <c r="B164" i="1" l="1"/>
  <c r="B165" i="1"/>
  <c r="G165" i="1" s="1"/>
  <c r="A165" i="1" s="1"/>
  <c r="G161" i="1"/>
  <c r="A161" i="1" s="1"/>
  <c r="W161" i="1" s="1"/>
  <c r="W152" i="1"/>
  <c r="G164" i="1" l="1"/>
  <c r="A164" i="1" s="1"/>
  <c r="B166" i="1"/>
  <c r="W153" i="1"/>
  <c r="G166" i="1" l="1"/>
  <c r="A166" i="1" s="1"/>
  <c r="B168" i="1"/>
  <c r="W154" i="1"/>
  <c r="B170" i="1" l="1"/>
  <c r="G170" i="1" s="1"/>
  <c r="A170" i="1" s="1"/>
  <c r="B172" i="1"/>
  <c r="G172" i="1" s="1"/>
  <c r="A172" i="1" s="1"/>
  <c r="G168" i="1"/>
  <c r="A168" i="1" s="1"/>
  <c r="B177" i="1"/>
  <c r="G177" i="1" s="1"/>
  <c r="A177" i="1" s="1"/>
  <c r="W177" i="1" s="1"/>
  <c r="W178" i="1" s="1"/>
  <c r="W179" i="1" s="1"/>
  <c r="W180" i="1" s="1"/>
  <c r="W155" i="1"/>
  <c r="W181" i="1" l="1"/>
  <c r="W168" i="1"/>
  <c r="A1" i="6"/>
  <c r="A1" i="2"/>
  <c r="E3" i="4"/>
  <c r="W156" i="1"/>
  <c r="D9" i="4" l="1"/>
  <c r="D46" i="4"/>
  <c r="D26" i="4"/>
  <c r="D18" i="4"/>
  <c r="D19" i="4"/>
  <c r="D8" i="4"/>
  <c r="D36" i="4"/>
  <c r="D53" i="4"/>
  <c r="D28" i="4"/>
  <c r="D10" i="4"/>
  <c r="D62" i="4"/>
  <c r="D38" i="4"/>
  <c r="D20" i="4"/>
  <c r="D31" i="4"/>
  <c r="D7" i="4"/>
  <c r="D37" i="4"/>
  <c r="D56" i="4"/>
  <c r="D52" i="4"/>
  <c r="D60" i="4"/>
  <c r="D17" i="4"/>
  <c r="D58" i="4"/>
  <c r="D51" i="4"/>
  <c r="D14" i="4"/>
  <c r="D40" i="4"/>
  <c r="D55" i="4"/>
  <c r="D23" i="4"/>
  <c r="D21" i="4"/>
  <c r="D6" i="4"/>
  <c r="D45" i="4"/>
  <c r="D12" i="4"/>
  <c r="D47" i="4"/>
  <c r="D43" i="4"/>
  <c r="D42" i="4"/>
  <c r="D16" i="4"/>
  <c r="D63" i="4"/>
  <c r="D50" i="4"/>
  <c r="D57" i="4"/>
  <c r="D44" i="4"/>
  <c r="D13" i="4"/>
  <c r="D29" i="4"/>
  <c r="D49" i="4"/>
  <c r="D22" i="4"/>
  <c r="D41" i="4"/>
  <c r="D33" i="4"/>
  <c r="D59" i="4"/>
  <c r="D35" i="4"/>
  <c r="D25" i="4"/>
  <c r="D11" i="4"/>
  <c r="D34" i="4"/>
  <c r="D30" i="4"/>
  <c r="D15" i="4"/>
  <c r="D54" i="4"/>
  <c r="D27" i="4"/>
  <c r="D5" i="4"/>
  <c r="D39" i="4"/>
  <c r="D32" i="4"/>
  <c r="D48" i="4"/>
  <c r="D61" i="4"/>
  <c r="D24" i="4"/>
  <c r="E1" i="2"/>
  <c r="E3" i="2"/>
  <c r="E41" i="2" s="1"/>
  <c r="E79" i="2" s="1"/>
  <c r="D7" i="2"/>
  <c r="D45" i="2" s="1"/>
  <c r="D83" i="2" s="1"/>
  <c r="D5" i="2"/>
  <c r="D43" i="2" s="1"/>
  <c r="D81" i="2" s="1"/>
  <c r="D7" i="6"/>
  <c r="D45" i="6" s="1"/>
  <c r="D83" i="6" s="1"/>
  <c r="E1" i="6"/>
  <c r="D5" i="6"/>
  <c r="D43" i="6" s="1"/>
  <c r="D81" i="6" s="1"/>
  <c r="E3" i="6"/>
  <c r="E41" i="6" s="1"/>
  <c r="E79" i="6" s="1"/>
  <c r="W157" i="1"/>
  <c r="H5" i="6" l="1"/>
  <c r="H43" i="6" s="1"/>
  <c r="H81" i="6" s="1"/>
  <c r="H6" i="6"/>
  <c r="H44" i="6" s="1"/>
  <c r="H82" i="6" s="1"/>
  <c r="H3" i="6"/>
  <c r="H41" i="6" s="1"/>
  <c r="H79" i="6" s="1"/>
  <c r="H5" i="2"/>
  <c r="H43" i="2" s="1"/>
  <c r="H81" i="2" s="1"/>
  <c r="H6" i="2"/>
  <c r="H44" i="2" s="1"/>
  <c r="H82" i="2" s="1"/>
  <c r="H3" i="2"/>
  <c r="H41" i="2" s="1"/>
  <c r="H79" i="2" s="1"/>
  <c r="E24" i="4"/>
  <c r="T24" i="4" s="1"/>
  <c r="H24" i="4"/>
  <c r="N24" i="4"/>
  <c r="O24" i="4"/>
  <c r="F24" i="4"/>
  <c r="G24" i="4"/>
  <c r="H61" i="4"/>
  <c r="L61" i="4"/>
  <c r="N61" i="4"/>
  <c r="F61" i="4"/>
  <c r="J61" i="4"/>
  <c r="E61" i="4"/>
  <c r="T61" i="4" s="1"/>
  <c r="G61" i="4"/>
  <c r="K61" i="4"/>
  <c r="M61" i="4" s="1"/>
  <c r="O61" i="4"/>
  <c r="I61" i="4"/>
  <c r="F48" i="4"/>
  <c r="K48" i="4"/>
  <c r="M48" i="4" s="1"/>
  <c r="N48" i="4"/>
  <c r="G48" i="4"/>
  <c r="I48" i="4"/>
  <c r="J48" i="4"/>
  <c r="O48" i="4"/>
  <c r="H48" i="4"/>
  <c r="L48" i="4"/>
  <c r="E48" i="4"/>
  <c r="T48" i="4" s="1"/>
  <c r="O32" i="4"/>
  <c r="E32" i="4"/>
  <c r="T32" i="4" s="1"/>
  <c r="N32" i="4"/>
  <c r="H32" i="4"/>
  <c r="G32" i="4"/>
  <c r="F32" i="4"/>
  <c r="G39" i="4"/>
  <c r="N39" i="4"/>
  <c r="F39" i="4"/>
  <c r="O39" i="4"/>
  <c r="E39" i="4"/>
  <c r="T39" i="4" s="1"/>
  <c r="H39" i="4"/>
  <c r="E5" i="4"/>
  <c r="T5" i="4" s="1"/>
  <c r="G5" i="4"/>
  <c r="O5" i="4"/>
  <c r="F5" i="4"/>
  <c r="H5" i="4"/>
  <c r="N5" i="4"/>
  <c r="E27" i="4"/>
  <c r="T27" i="4" s="1"/>
  <c r="N27" i="4"/>
  <c r="G27" i="4"/>
  <c r="O27" i="4"/>
  <c r="F27" i="4"/>
  <c r="H27" i="4"/>
  <c r="L54" i="4"/>
  <c r="I54" i="4"/>
  <c r="J54" i="4"/>
  <c r="O54" i="4"/>
  <c r="N54" i="4"/>
  <c r="H54" i="4"/>
  <c r="E54" i="4"/>
  <c r="T54" i="4" s="1"/>
  <c r="F54" i="4"/>
  <c r="G54" i="4"/>
  <c r="K54" i="4"/>
  <c r="M54" i="4" s="1"/>
  <c r="O15" i="4"/>
  <c r="E15" i="4"/>
  <c r="T15" i="4" s="1"/>
  <c r="H15" i="4"/>
  <c r="F15" i="4"/>
  <c r="G15" i="4"/>
  <c r="N15" i="4"/>
  <c r="O30" i="4"/>
  <c r="G30" i="4"/>
  <c r="F30" i="4"/>
  <c r="E30" i="4"/>
  <c r="T30" i="4" s="1"/>
  <c r="H30" i="4"/>
  <c r="N30" i="4"/>
  <c r="O34" i="4"/>
  <c r="E34" i="4"/>
  <c r="T34" i="4" s="1"/>
  <c r="G34" i="4"/>
  <c r="H34" i="4"/>
  <c r="N34" i="4"/>
  <c r="F34" i="4"/>
  <c r="H11" i="4"/>
  <c r="G11" i="4"/>
  <c r="N11" i="4"/>
  <c r="F11" i="4"/>
  <c r="E11" i="4"/>
  <c r="T11" i="4" s="1"/>
  <c r="O11" i="4"/>
  <c r="F25" i="4"/>
  <c r="E25" i="4"/>
  <c r="T25" i="4" s="1"/>
  <c r="O25" i="4"/>
  <c r="H25" i="4"/>
  <c r="G25" i="4"/>
  <c r="N25" i="4"/>
  <c r="H35" i="4"/>
  <c r="N35" i="4"/>
  <c r="F35" i="4"/>
  <c r="E35" i="4"/>
  <c r="T35" i="4" s="1"/>
  <c r="G35" i="4"/>
  <c r="O35" i="4"/>
  <c r="E59" i="4"/>
  <c r="T59" i="4" s="1"/>
  <c r="J59" i="4"/>
  <c r="L59" i="4"/>
  <c r="O59" i="4"/>
  <c r="H59" i="4"/>
  <c r="K59" i="4"/>
  <c r="M59" i="4" s="1"/>
  <c r="N59" i="4"/>
  <c r="I59" i="4"/>
  <c r="F59" i="4"/>
  <c r="G59" i="4"/>
  <c r="N33" i="4"/>
  <c r="G33" i="4"/>
  <c r="F33" i="4"/>
  <c r="O33" i="4"/>
  <c r="H33" i="4"/>
  <c r="E33" i="4"/>
  <c r="T33" i="4" s="1"/>
  <c r="F41" i="4"/>
  <c r="E41" i="4"/>
  <c r="T41" i="4" s="1"/>
  <c r="G41" i="4"/>
  <c r="N41" i="4"/>
  <c r="O41" i="4"/>
  <c r="H41" i="4"/>
  <c r="F22" i="4"/>
  <c r="G22" i="4"/>
  <c r="E22" i="4"/>
  <c r="T22" i="4" s="1"/>
  <c r="H22" i="4"/>
  <c r="O22" i="4"/>
  <c r="N22" i="4"/>
  <c r="F49" i="4"/>
  <c r="H49" i="4"/>
  <c r="I49" i="4"/>
  <c r="O49" i="4"/>
  <c r="K49" i="4"/>
  <c r="M49" i="4" s="1"/>
  <c r="L49" i="4"/>
  <c r="G49" i="4"/>
  <c r="N49" i="4"/>
  <c r="E49" i="4"/>
  <c r="T49" i="4" s="1"/>
  <c r="J49" i="4"/>
  <c r="N29" i="4"/>
  <c r="F29" i="4"/>
  <c r="G29" i="4"/>
  <c r="O29" i="4"/>
  <c r="E29" i="4"/>
  <c r="T29" i="4" s="1"/>
  <c r="H29" i="4"/>
  <c r="E13" i="4"/>
  <c r="T13" i="4" s="1"/>
  <c r="H13" i="4"/>
  <c r="G13" i="4"/>
  <c r="N13" i="4"/>
  <c r="F13" i="4"/>
  <c r="O13" i="4"/>
  <c r="E44" i="4"/>
  <c r="T44" i="4" s="1"/>
  <c r="G44" i="4"/>
  <c r="L44" i="4"/>
  <c r="O44" i="4"/>
  <c r="I44" i="4"/>
  <c r="H44" i="4"/>
  <c r="N44" i="4"/>
  <c r="F44" i="4"/>
  <c r="J44" i="4"/>
  <c r="K44" i="4"/>
  <c r="M44" i="4" s="1"/>
  <c r="L57" i="4"/>
  <c r="J57" i="4"/>
  <c r="F57" i="4"/>
  <c r="O57" i="4"/>
  <c r="G57" i="4"/>
  <c r="E57" i="4"/>
  <c r="T57" i="4" s="1"/>
  <c r="H57" i="4"/>
  <c r="I57" i="4"/>
  <c r="N57" i="4"/>
  <c r="K57" i="4"/>
  <c r="M57" i="4" s="1"/>
  <c r="G50" i="4"/>
  <c r="N50" i="4"/>
  <c r="O50" i="4"/>
  <c r="E50" i="4"/>
  <c r="T50" i="4" s="1"/>
  <c r="K50" i="4"/>
  <c r="M50" i="4" s="1"/>
  <c r="L50" i="4"/>
  <c r="I50" i="4"/>
  <c r="F50" i="4"/>
  <c r="J50" i="4"/>
  <c r="H50" i="4"/>
  <c r="I63" i="4"/>
  <c r="N63" i="4"/>
  <c r="H63" i="4"/>
  <c r="G63" i="4"/>
  <c r="K63" i="4"/>
  <c r="M63" i="4" s="1"/>
  <c r="L63" i="4"/>
  <c r="E63" i="4"/>
  <c r="T63" i="4" s="1"/>
  <c r="F63" i="4"/>
  <c r="J63" i="4"/>
  <c r="O63" i="4"/>
  <c r="N16" i="4"/>
  <c r="E16" i="4"/>
  <c r="T16" i="4" s="1"/>
  <c r="H16" i="4"/>
  <c r="G16" i="4"/>
  <c r="O16" i="4"/>
  <c r="F16" i="4"/>
  <c r="N42" i="4"/>
  <c r="O42" i="4"/>
  <c r="G42" i="4"/>
  <c r="E42" i="4"/>
  <c r="T42" i="4" s="1"/>
  <c r="F42" i="4"/>
  <c r="H42" i="4"/>
  <c r="G43" i="4"/>
  <c r="H43" i="4"/>
  <c r="F43" i="4"/>
  <c r="N43" i="4"/>
  <c r="O43" i="4"/>
  <c r="E43" i="4"/>
  <c r="T43" i="4" s="1"/>
  <c r="I47" i="4"/>
  <c r="L47" i="4"/>
  <c r="N47" i="4"/>
  <c r="K47" i="4"/>
  <c r="M47" i="4" s="1"/>
  <c r="H47" i="4"/>
  <c r="E47" i="4"/>
  <c r="T47" i="4" s="1"/>
  <c r="F47" i="4"/>
  <c r="J47" i="4"/>
  <c r="O47" i="4"/>
  <c r="G47" i="4"/>
  <c r="O12" i="4"/>
  <c r="F12" i="4"/>
  <c r="H12" i="4"/>
  <c r="G12" i="4"/>
  <c r="N12" i="4"/>
  <c r="E12" i="4"/>
  <c r="T12" i="4" s="1"/>
  <c r="K45" i="4"/>
  <c r="M45" i="4" s="1"/>
  <c r="E45" i="4"/>
  <c r="T45" i="4" s="1"/>
  <c r="G45" i="4"/>
  <c r="H45" i="4"/>
  <c r="O45" i="4"/>
  <c r="L45" i="4"/>
  <c r="N45" i="4"/>
  <c r="F45" i="4"/>
  <c r="J45" i="4"/>
  <c r="I45" i="4"/>
  <c r="H6" i="4"/>
  <c r="O6" i="4"/>
  <c r="G6" i="4"/>
  <c r="F6" i="4"/>
  <c r="E6" i="4"/>
  <c r="T6" i="4" s="1"/>
  <c r="N6" i="4"/>
  <c r="H21" i="4"/>
  <c r="F21" i="4"/>
  <c r="O21" i="4"/>
  <c r="E21" i="4"/>
  <c r="T21" i="4" s="1"/>
  <c r="N21" i="4"/>
  <c r="G21" i="4"/>
  <c r="G23" i="4"/>
  <c r="N23" i="4"/>
  <c r="E23" i="4"/>
  <c r="T23" i="4" s="1"/>
  <c r="O23" i="4"/>
  <c r="F23" i="4"/>
  <c r="H23" i="4"/>
  <c r="E55" i="4"/>
  <c r="T55" i="4" s="1"/>
  <c r="F55" i="4"/>
  <c r="N55" i="4"/>
  <c r="K55" i="4"/>
  <c r="M55" i="4" s="1"/>
  <c r="L55" i="4"/>
  <c r="O55" i="4"/>
  <c r="H55" i="4"/>
  <c r="J55" i="4"/>
  <c r="I55" i="4"/>
  <c r="G55" i="4"/>
  <c r="H40" i="4"/>
  <c r="F40" i="4"/>
  <c r="G40" i="4"/>
  <c r="N40" i="4"/>
  <c r="E40" i="4"/>
  <c r="T40" i="4" s="1"/>
  <c r="O40" i="4"/>
  <c r="O14" i="4"/>
  <c r="N14" i="4"/>
  <c r="H14" i="4"/>
  <c r="F14" i="4"/>
  <c r="E14" i="4"/>
  <c r="T14" i="4" s="1"/>
  <c r="G14" i="4"/>
  <c r="H51" i="4"/>
  <c r="O51" i="4"/>
  <c r="K51" i="4"/>
  <c r="M51" i="4" s="1"/>
  <c r="I51" i="4"/>
  <c r="F51" i="4"/>
  <c r="J51" i="4"/>
  <c r="L51" i="4"/>
  <c r="E51" i="4"/>
  <c r="T51" i="4" s="1"/>
  <c r="N51" i="4"/>
  <c r="G51" i="4"/>
  <c r="O58" i="4"/>
  <c r="J58" i="4"/>
  <c r="K58" i="4"/>
  <c r="M58" i="4" s="1"/>
  <c r="E58" i="4"/>
  <c r="T58" i="4" s="1"/>
  <c r="N58" i="4"/>
  <c r="H58" i="4"/>
  <c r="I58" i="4"/>
  <c r="G58" i="4"/>
  <c r="F58" i="4"/>
  <c r="L58" i="4"/>
  <c r="O17" i="4"/>
  <c r="F17" i="4"/>
  <c r="G17" i="4"/>
  <c r="E17" i="4"/>
  <c r="T17" i="4" s="1"/>
  <c r="H17" i="4"/>
  <c r="N17" i="4"/>
  <c r="K60" i="4"/>
  <c r="M60" i="4" s="1"/>
  <c r="H60" i="4"/>
  <c r="G60" i="4"/>
  <c r="N60" i="4"/>
  <c r="J60" i="4"/>
  <c r="O60" i="4"/>
  <c r="I60" i="4"/>
  <c r="L60" i="4"/>
  <c r="F60" i="4"/>
  <c r="E60" i="4"/>
  <c r="T60" i="4" s="1"/>
  <c r="K52" i="4"/>
  <c r="M52" i="4" s="1"/>
  <c r="H52" i="4"/>
  <c r="I52" i="4"/>
  <c r="J52" i="4"/>
  <c r="E52" i="4"/>
  <c r="T52" i="4" s="1"/>
  <c r="N52" i="4"/>
  <c r="O52" i="4"/>
  <c r="L52" i="4"/>
  <c r="G52" i="4"/>
  <c r="F52" i="4"/>
  <c r="G56" i="4"/>
  <c r="O56" i="4"/>
  <c r="I56" i="4"/>
  <c r="J56" i="4"/>
  <c r="E56" i="4"/>
  <c r="T56" i="4" s="1"/>
  <c r="H56" i="4"/>
  <c r="L56" i="4"/>
  <c r="K56" i="4"/>
  <c r="M56" i="4" s="1"/>
  <c r="N56" i="4"/>
  <c r="F56" i="4"/>
  <c r="F37" i="4"/>
  <c r="H37" i="4"/>
  <c r="G37" i="4"/>
  <c r="O37" i="4"/>
  <c r="N37" i="4"/>
  <c r="E37" i="4"/>
  <c r="T37" i="4" s="1"/>
  <c r="G7" i="4"/>
  <c r="E7" i="4"/>
  <c r="T7" i="4" s="1"/>
  <c r="N7" i="4"/>
  <c r="O7" i="4"/>
  <c r="F7" i="4"/>
  <c r="H7" i="4"/>
  <c r="H31" i="4"/>
  <c r="F31" i="4"/>
  <c r="E31" i="4"/>
  <c r="T31" i="4" s="1"/>
  <c r="G31" i="4"/>
  <c r="O31" i="4"/>
  <c r="N31" i="4"/>
  <c r="F20" i="4"/>
  <c r="N20" i="4"/>
  <c r="O20" i="4"/>
  <c r="G20" i="4"/>
  <c r="E20" i="4"/>
  <c r="T20" i="4" s="1"/>
  <c r="H20" i="4"/>
  <c r="H38" i="4"/>
  <c r="N38" i="4"/>
  <c r="G38" i="4"/>
  <c r="O38" i="4"/>
  <c r="F38" i="4"/>
  <c r="E38" i="4"/>
  <c r="T38" i="4" s="1"/>
  <c r="H62" i="4"/>
  <c r="K62" i="4"/>
  <c r="M62" i="4" s="1"/>
  <c r="I62" i="4"/>
  <c r="O62" i="4"/>
  <c r="F62" i="4"/>
  <c r="L62" i="4"/>
  <c r="G62" i="4"/>
  <c r="E62" i="4"/>
  <c r="T62" i="4" s="1"/>
  <c r="J62" i="4"/>
  <c r="N62" i="4"/>
  <c r="E10" i="4"/>
  <c r="T10" i="4" s="1"/>
  <c r="G10" i="4"/>
  <c r="H10" i="4"/>
  <c r="F10" i="4"/>
  <c r="N10" i="4"/>
  <c r="O10" i="4"/>
  <c r="O28" i="4"/>
  <c r="N28" i="4"/>
  <c r="E28" i="4"/>
  <c r="T28" i="4" s="1"/>
  <c r="F28" i="4"/>
  <c r="H28" i="4"/>
  <c r="G28" i="4"/>
  <c r="J53" i="4"/>
  <c r="O53" i="4"/>
  <c r="L53" i="4"/>
  <c r="G53" i="4"/>
  <c r="E53" i="4"/>
  <c r="T53" i="4" s="1"/>
  <c r="H53" i="4"/>
  <c r="I53" i="4"/>
  <c r="K53" i="4"/>
  <c r="M53" i="4" s="1"/>
  <c r="N53" i="4"/>
  <c r="F53" i="4"/>
  <c r="N36" i="4"/>
  <c r="F36" i="4"/>
  <c r="G36" i="4"/>
  <c r="O36" i="4"/>
  <c r="H36" i="4"/>
  <c r="E36" i="4"/>
  <c r="T36" i="4" s="1"/>
  <c r="H8" i="4"/>
  <c r="G8" i="4"/>
  <c r="E8" i="4"/>
  <c r="T8" i="4" s="1"/>
  <c r="F8" i="4"/>
  <c r="O8" i="4"/>
  <c r="N8" i="4"/>
  <c r="E19" i="4"/>
  <c r="T19" i="4" s="1"/>
  <c r="N19" i="4"/>
  <c r="G19" i="4"/>
  <c r="O19" i="4"/>
  <c r="F19" i="4"/>
  <c r="H19" i="4"/>
  <c r="E18" i="4"/>
  <c r="T18" i="4" s="1"/>
  <c r="O18" i="4"/>
  <c r="H18" i="4"/>
  <c r="F18" i="4"/>
  <c r="N18" i="4"/>
  <c r="G18" i="4"/>
  <c r="G26" i="4"/>
  <c r="N26" i="4"/>
  <c r="O26" i="4"/>
  <c r="H26" i="4"/>
  <c r="F26" i="4"/>
  <c r="E26" i="4"/>
  <c r="T26" i="4" s="1"/>
  <c r="J46" i="4"/>
  <c r="G46" i="4"/>
  <c r="H46" i="4"/>
  <c r="N46" i="4"/>
  <c r="F46" i="4"/>
  <c r="O46" i="4"/>
  <c r="E46" i="4"/>
  <c r="T46" i="4" s="1"/>
  <c r="K46" i="4"/>
  <c r="M46" i="4" s="1"/>
  <c r="L46" i="4"/>
  <c r="I46" i="4"/>
  <c r="N9" i="4"/>
  <c r="E9" i="4"/>
  <c r="T9" i="4" s="1"/>
  <c r="F9" i="4"/>
  <c r="O9" i="4"/>
  <c r="H9" i="4"/>
  <c r="G9" i="4"/>
  <c r="W158" i="1"/>
  <c r="J38" i="2" l="1"/>
  <c r="J76" i="2" s="1"/>
  <c r="J114" i="2" s="1"/>
  <c r="J38" i="6"/>
  <c r="J76" i="6" s="1"/>
  <c r="J114" i="6" s="1"/>
  <c r="J37" i="2"/>
  <c r="J75" i="2" s="1"/>
  <c r="J113" i="2" s="1"/>
  <c r="J37" i="6"/>
  <c r="J75" i="6" s="1"/>
  <c r="J113" i="6" s="1"/>
  <c r="V9" i="4"/>
  <c r="X9" i="4"/>
  <c r="U9" i="4"/>
  <c r="V46" i="4"/>
  <c r="U46" i="4"/>
  <c r="X46" i="4"/>
  <c r="W46" i="4"/>
  <c r="X26" i="4"/>
  <c r="V26" i="4"/>
  <c r="U26" i="4"/>
  <c r="X18" i="4"/>
  <c r="U18" i="4"/>
  <c r="V18" i="4"/>
  <c r="X19" i="4"/>
  <c r="U19" i="4"/>
  <c r="V19" i="4"/>
  <c r="U8" i="4"/>
  <c r="X8" i="4"/>
  <c r="V8" i="4"/>
  <c r="U36" i="4"/>
  <c r="V36" i="4"/>
  <c r="X36" i="4"/>
  <c r="U53" i="4"/>
  <c r="W53" i="4"/>
  <c r="X53" i="4"/>
  <c r="V53" i="4"/>
  <c r="X28" i="4"/>
  <c r="U28" i="4"/>
  <c r="V28" i="4"/>
  <c r="U10" i="4"/>
  <c r="V10" i="4"/>
  <c r="X10" i="4"/>
  <c r="X62" i="4"/>
  <c r="V62" i="4"/>
  <c r="U62" i="4"/>
  <c r="W62" i="4"/>
  <c r="U38" i="4"/>
  <c r="X38" i="4"/>
  <c r="V38" i="4"/>
  <c r="U20" i="4"/>
  <c r="V20" i="4"/>
  <c r="X20" i="4"/>
  <c r="X31" i="4"/>
  <c r="V31" i="4"/>
  <c r="U31" i="4"/>
  <c r="U7" i="4"/>
  <c r="X7" i="4"/>
  <c r="V7" i="4"/>
  <c r="X37" i="4"/>
  <c r="V37" i="4"/>
  <c r="U37" i="4"/>
  <c r="U56" i="4"/>
  <c r="W56" i="4"/>
  <c r="X56" i="4"/>
  <c r="V56" i="4"/>
  <c r="X52" i="4"/>
  <c r="U52" i="4"/>
  <c r="V52" i="4"/>
  <c r="W52" i="4"/>
  <c r="V60" i="4"/>
  <c r="U60" i="4"/>
  <c r="X60" i="4"/>
  <c r="W60" i="4"/>
  <c r="X17" i="4"/>
  <c r="V17" i="4"/>
  <c r="U17" i="4"/>
  <c r="U58" i="4"/>
  <c r="V58" i="4"/>
  <c r="W58" i="4"/>
  <c r="X58" i="4"/>
  <c r="W51" i="4"/>
  <c r="X51" i="4"/>
  <c r="V51" i="4"/>
  <c r="U51" i="4"/>
  <c r="V14" i="4"/>
  <c r="X14" i="4"/>
  <c r="U14" i="4"/>
  <c r="U40" i="4"/>
  <c r="V40" i="4"/>
  <c r="X40" i="4"/>
  <c r="V55" i="4"/>
  <c r="X55" i="4"/>
  <c r="W55" i="4"/>
  <c r="U55" i="4"/>
  <c r="U23" i="4"/>
  <c r="V23" i="4"/>
  <c r="X23" i="4"/>
  <c r="U21" i="4"/>
  <c r="V21" i="4"/>
  <c r="X21" i="4"/>
  <c r="X6" i="4"/>
  <c r="V6" i="4"/>
  <c r="U6" i="4"/>
  <c r="W45" i="4"/>
  <c r="U45" i="4"/>
  <c r="X45" i="4"/>
  <c r="V45" i="4"/>
  <c r="V12" i="4"/>
  <c r="X12" i="4"/>
  <c r="U12" i="4"/>
  <c r="X47" i="4"/>
  <c r="U47" i="4"/>
  <c r="W47" i="4"/>
  <c r="V47" i="4"/>
  <c r="U43" i="4"/>
  <c r="V43" i="4"/>
  <c r="X43" i="4"/>
  <c r="U42" i="4"/>
  <c r="V42" i="4"/>
  <c r="X42" i="4"/>
  <c r="U16" i="4"/>
  <c r="V16" i="4"/>
  <c r="X16" i="4"/>
  <c r="X63" i="4"/>
  <c r="U63" i="4"/>
  <c r="W63" i="4"/>
  <c r="V63" i="4"/>
  <c r="W50" i="4"/>
  <c r="V50" i="4"/>
  <c r="U50" i="4"/>
  <c r="X50" i="4"/>
  <c r="X57" i="4"/>
  <c r="W57" i="4"/>
  <c r="U57" i="4"/>
  <c r="V57" i="4"/>
  <c r="U44" i="4"/>
  <c r="V44" i="4"/>
  <c r="W44" i="4"/>
  <c r="X44" i="4"/>
  <c r="U13" i="4"/>
  <c r="V13" i="4"/>
  <c r="X13" i="4"/>
  <c r="X29" i="4"/>
  <c r="U29" i="4"/>
  <c r="V29" i="4"/>
  <c r="V49" i="4"/>
  <c r="U49" i="4"/>
  <c r="X49" i="4"/>
  <c r="W49" i="4"/>
  <c r="V22" i="4"/>
  <c r="X22" i="4"/>
  <c r="U22" i="4"/>
  <c r="V41" i="4"/>
  <c r="U41" i="4"/>
  <c r="X41" i="4"/>
  <c r="V33" i="4"/>
  <c r="X33" i="4"/>
  <c r="U33" i="4"/>
  <c r="W59" i="4"/>
  <c r="X59" i="4"/>
  <c r="V59" i="4"/>
  <c r="U59" i="4"/>
  <c r="V35" i="4"/>
  <c r="X35" i="4"/>
  <c r="U35" i="4"/>
  <c r="V25" i="4"/>
  <c r="X25" i="4"/>
  <c r="U25" i="4"/>
  <c r="X11" i="4"/>
  <c r="V11" i="4"/>
  <c r="U11" i="4"/>
  <c r="U34" i="4"/>
  <c r="X34" i="4"/>
  <c r="V34" i="4"/>
  <c r="X30" i="4"/>
  <c r="U30" i="4"/>
  <c r="V30" i="4"/>
  <c r="V15" i="4"/>
  <c r="X15" i="4"/>
  <c r="U15" i="4"/>
  <c r="X54" i="4"/>
  <c r="W54" i="4"/>
  <c r="U54" i="4"/>
  <c r="V54" i="4"/>
  <c r="U27" i="4"/>
  <c r="V27" i="4"/>
  <c r="X27" i="4"/>
  <c r="U5" i="4"/>
  <c r="X5" i="4"/>
  <c r="V5" i="4"/>
  <c r="V39" i="4"/>
  <c r="U39" i="4"/>
  <c r="X39" i="4"/>
  <c r="X32" i="4"/>
  <c r="V32" i="4"/>
  <c r="U32" i="4"/>
  <c r="U48" i="4"/>
  <c r="V48" i="4"/>
  <c r="W48" i="4"/>
  <c r="X48" i="4"/>
  <c r="W61" i="4"/>
  <c r="X61" i="4"/>
  <c r="U61" i="4"/>
  <c r="V61" i="4"/>
  <c r="X24" i="4"/>
  <c r="V24" i="4"/>
  <c r="U24" i="4"/>
  <c r="W159" i="1"/>
  <c r="AD115" i="1" s="1"/>
  <c r="AD150" i="1"/>
  <c r="X152" i="1"/>
  <c r="X153" i="1"/>
  <c r="X155" i="1"/>
  <c r="X157" i="1"/>
  <c r="I43" i="4" l="1"/>
  <c r="K43" i="4"/>
  <c r="J43" i="4"/>
  <c r="AD172" i="1"/>
  <c r="I42" i="4"/>
  <c r="J42" i="4"/>
  <c r="K42" i="4"/>
  <c r="AD170" i="1"/>
  <c r="J41" i="4"/>
  <c r="K41" i="4"/>
  <c r="I41" i="4"/>
  <c r="X179" i="1"/>
  <c r="X180" i="1"/>
  <c r="X181" i="1"/>
  <c r="X177" i="1"/>
  <c r="X178" i="1"/>
  <c r="AD177" i="1"/>
  <c r="K40" i="4"/>
  <c r="I40" i="4"/>
  <c r="J40" i="4"/>
  <c r="AD166" i="1"/>
  <c r="K39" i="4"/>
  <c r="J39" i="4"/>
  <c r="I39" i="4"/>
  <c r="K38" i="4"/>
  <c r="J38" i="4"/>
  <c r="I38" i="4"/>
  <c r="AD165" i="1"/>
  <c r="X168" i="1"/>
  <c r="I37" i="4"/>
  <c r="J37" i="4"/>
  <c r="K37" i="4"/>
  <c r="AD164" i="1"/>
  <c r="G1" i="2"/>
  <c r="G1" i="6"/>
  <c r="X161" i="1"/>
  <c r="AD168" i="1"/>
  <c r="AD161" i="1"/>
  <c r="J35" i="4"/>
  <c r="K35" i="4"/>
  <c r="I35" i="4"/>
  <c r="X159" i="1"/>
  <c r="AD143" i="1"/>
  <c r="AD142" i="1"/>
  <c r="X150" i="1"/>
  <c r="AD141" i="1"/>
  <c r="X139" i="1"/>
  <c r="X140" i="1"/>
  <c r="AD139" i="1"/>
  <c r="AD124" i="1"/>
  <c r="AD130" i="1"/>
  <c r="AD128" i="1"/>
  <c r="AD126" i="1"/>
  <c r="X137" i="1"/>
  <c r="X135" i="1"/>
  <c r="X133" i="1"/>
  <c r="X136" i="1"/>
  <c r="X134" i="1"/>
  <c r="AD133" i="1"/>
  <c r="X78" i="1"/>
  <c r="X76" i="1"/>
  <c r="X73" i="1"/>
  <c r="X8" i="1"/>
  <c r="X15" i="1"/>
  <c r="X33" i="1"/>
  <c r="X96" i="1"/>
  <c r="X98" i="1"/>
  <c r="X46" i="1"/>
  <c r="X116" i="1"/>
  <c r="X42" i="1"/>
  <c r="X111" i="1"/>
  <c r="X109" i="1"/>
  <c r="AD50" i="1"/>
  <c r="X28" i="1"/>
  <c r="AD20" i="1"/>
  <c r="X17" i="1"/>
  <c r="X41" i="1"/>
  <c r="X119" i="1"/>
  <c r="AD111" i="1"/>
  <c r="X107" i="1"/>
  <c r="X44" i="1"/>
  <c r="AD37" i="1"/>
  <c r="X10" i="1"/>
  <c r="X31" i="1"/>
  <c r="X20" i="1"/>
  <c r="X58" i="1"/>
  <c r="AD6" i="1"/>
  <c r="X88" i="1"/>
  <c r="AD30" i="1"/>
  <c r="X47" i="1"/>
  <c r="X61" i="1"/>
  <c r="X43" i="1"/>
  <c r="X92" i="1"/>
  <c r="AD106" i="1"/>
  <c r="X6" i="1"/>
  <c r="X51" i="1"/>
  <c r="X11" i="1"/>
  <c r="X21" i="1"/>
  <c r="X104" i="1"/>
  <c r="X80" i="1"/>
  <c r="X34" i="1"/>
  <c r="X52" i="1"/>
  <c r="X23" i="1"/>
  <c r="X97" i="1"/>
  <c r="X45" i="1"/>
  <c r="X50" i="1"/>
  <c r="X38" i="1"/>
  <c r="X91" i="1"/>
  <c r="AD4" i="1"/>
  <c r="X26" i="1"/>
  <c r="X63" i="1"/>
  <c r="X59" i="1"/>
  <c r="X57" i="1"/>
  <c r="AD40" i="1"/>
  <c r="X115" i="1"/>
  <c r="X81" i="1"/>
  <c r="X12" i="1"/>
  <c r="AD17" i="1"/>
  <c r="X83" i="1"/>
  <c r="X71" i="1"/>
  <c r="X67" i="1"/>
  <c r="AD25" i="1"/>
  <c r="X90" i="1"/>
  <c r="X77" i="1"/>
  <c r="X74" i="1"/>
  <c r="X118" i="1"/>
  <c r="X60" i="1"/>
  <c r="X87" i="1"/>
  <c r="AD109" i="1"/>
  <c r="X100" i="1"/>
  <c r="X48" i="1"/>
  <c r="X55" i="1"/>
  <c r="AD113" i="1"/>
  <c r="X56" i="1"/>
  <c r="X27" i="1"/>
  <c r="X72" i="1"/>
  <c r="X93" i="1"/>
  <c r="X113" i="1"/>
  <c r="X101" i="1"/>
  <c r="X14" i="1"/>
  <c r="X89" i="1"/>
  <c r="X84" i="1"/>
  <c r="X99" i="1"/>
  <c r="X117" i="1"/>
  <c r="X102" i="1"/>
  <c r="X70" i="1"/>
  <c r="X13" i="1"/>
  <c r="X68" i="1"/>
  <c r="X86" i="1"/>
  <c r="X9" i="1"/>
  <c r="X32" i="1"/>
  <c r="X75" i="1"/>
  <c r="X124" i="1"/>
  <c r="X103" i="1"/>
  <c r="AD55" i="1"/>
  <c r="X22" i="1"/>
  <c r="AD80" i="1"/>
  <c r="X35" i="1"/>
  <c r="X69" i="1"/>
  <c r="X66" i="1"/>
  <c r="X30" i="1"/>
  <c r="X65" i="1"/>
  <c r="X18" i="1"/>
  <c r="X82" i="1"/>
  <c r="AD96" i="1"/>
  <c r="AD63" i="1"/>
  <c r="X40" i="1"/>
  <c r="X64" i="1"/>
  <c r="X53" i="1"/>
  <c r="X37" i="1"/>
  <c r="X106" i="1"/>
  <c r="X4" i="1"/>
  <c r="X85" i="1"/>
  <c r="X25" i="1"/>
  <c r="X7" i="1"/>
  <c r="X94" i="1"/>
  <c r="AD144" i="1"/>
  <c r="AD152" i="1"/>
  <c r="I24" i="4"/>
  <c r="K24" i="4"/>
  <c r="J24" i="4"/>
  <c r="I32" i="4"/>
  <c r="J32" i="4"/>
  <c r="K32" i="4"/>
  <c r="K5" i="4"/>
  <c r="J5" i="4"/>
  <c r="I5" i="4"/>
  <c r="I27" i="4"/>
  <c r="K27" i="4"/>
  <c r="J27" i="4"/>
  <c r="K15" i="4"/>
  <c r="J15" i="4"/>
  <c r="I15" i="4"/>
  <c r="J30" i="4"/>
  <c r="I30" i="4"/>
  <c r="K30" i="4"/>
  <c r="I34" i="4"/>
  <c r="K34" i="4"/>
  <c r="J34" i="4"/>
  <c r="I11" i="4"/>
  <c r="K11" i="4"/>
  <c r="J11" i="4"/>
  <c r="I25" i="4"/>
  <c r="K25" i="4"/>
  <c r="J25" i="4"/>
  <c r="K33" i="4"/>
  <c r="J33" i="4"/>
  <c r="I33" i="4"/>
  <c r="J22" i="4"/>
  <c r="K22" i="4"/>
  <c r="I22" i="4"/>
  <c r="J29" i="4"/>
  <c r="I29" i="4"/>
  <c r="K29" i="4"/>
  <c r="I13" i="4"/>
  <c r="J13" i="4"/>
  <c r="K13" i="4"/>
  <c r="I16" i="4"/>
  <c r="K16" i="4"/>
  <c r="J16" i="4"/>
  <c r="I12" i="4"/>
  <c r="K12" i="4"/>
  <c r="J12" i="4"/>
  <c r="I6" i="4"/>
  <c r="J6" i="4"/>
  <c r="K6" i="4"/>
  <c r="I21" i="4"/>
  <c r="K21" i="4"/>
  <c r="J21" i="4"/>
  <c r="J23" i="4"/>
  <c r="I23" i="4"/>
  <c r="K23" i="4"/>
  <c r="J14" i="4"/>
  <c r="I14" i="4"/>
  <c r="K14" i="4"/>
  <c r="I17" i="4"/>
  <c r="K17" i="4"/>
  <c r="J17" i="4"/>
  <c r="K7" i="4"/>
  <c r="J7" i="4"/>
  <c r="I7" i="4"/>
  <c r="J31" i="4"/>
  <c r="K31" i="4"/>
  <c r="I31" i="4"/>
  <c r="I20" i="4"/>
  <c r="J20" i="4"/>
  <c r="K20" i="4"/>
  <c r="J10" i="4"/>
  <c r="K10" i="4"/>
  <c r="I10" i="4"/>
  <c r="J28" i="4"/>
  <c r="K28" i="4"/>
  <c r="I28" i="4"/>
  <c r="K8" i="4"/>
  <c r="I8" i="4"/>
  <c r="J8" i="4"/>
  <c r="J19" i="4"/>
  <c r="I19" i="4"/>
  <c r="K19" i="4"/>
  <c r="I18" i="4"/>
  <c r="K18" i="4"/>
  <c r="J18" i="4"/>
  <c r="J26" i="4"/>
  <c r="I26" i="4"/>
  <c r="K26" i="4"/>
  <c r="K9" i="4"/>
  <c r="J9" i="4"/>
  <c r="I9" i="4"/>
  <c r="X154" i="1"/>
  <c r="X156" i="1"/>
  <c r="X158" i="1"/>
  <c r="I36" i="4"/>
  <c r="K36" i="4"/>
  <c r="J36" i="4"/>
  <c r="M43" i="4" l="1"/>
  <c r="W43" i="4" s="1"/>
  <c r="L43" i="4"/>
  <c r="M42" i="4"/>
  <c r="W42" i="4" s="1"/>
  <c r="L42" i="4"/>
  <c r="M41" i="4"/>
  <c r="W41" i="4" s="1"/>
  <c r="L41" i="4"/>
  <c r="M40" i="4"/>
  <c r="W40" i="4" s="1"/>
  <c r="L40" i="4"/>
  <c r="M39" i="4"/>
  <c r="W39" i="4" s="1"/>
  <c r="L39" i="4"/>
  <c r="M38" i="4"/>
  <c r="W38" i="4" s="1"/>
  <c r="L38" i="4"/>
  <c r="M37" i="4"/>
  <c r="W37" i="4" s="1"/>
  <c r="L37" i="4"/>
  <c r="J29" i="2"/>
  <c r="J29" i="6"/>
  <c r="K15" i="6"/>
  <c r="K53" i="6" s="1"/>
  <c r="K91" i="6" s="1"/>
  <c r="B16" i="6"/>
  <c r="B54" i="6" s="1"/>
  <c r="B92" i="6" s="1"/>
  <c r="K16" i="6"/>
  <c r="K54" i="6" s="1"/>
  <c r="K92" i="6" s="1"/>
  <c r="B21" i="6"/>
  <c r="B59" i="6" s="1"/>
  <c r="B97" i="6" s="1"/>
  <c r="D15" i="6"/>
  <c r="D53" i="6" s="1"/>
  <c r="D91" i="6" s="1"/>
  <c r="K25" i="6"/>
  <c r="K63" i="6" s="1"/>
  <c r="K101" i="6" s="1"/>
  <c r="B26" i="6"/>
  <c r="B64" i="6" s="1"/>
  <c r="B102" i="6" s="1"/>
  <c r="J18" i="6"/>
  <c r="J56" i="6" s="1"/>
  <c r="J94" i="6" s="1"/>
  <c r="B25" i="6"/>
  <c r="B63" i="6" s="1"/>
  <c r="B101" i="6" s="1"/>
  <c r="C24" i="6"/>
  <c r="C62" i="6" s="1"/>
  <c r="C100" i="6" s="1"/>
  <c r="K14" i="6"/>
  <c r="K52" i="6" s="1"/>
  <c r="K90" i="6" s="1"/>
  <c r="B19" i="6"/>
  <c r="B57" i="6" s="1"/>
  <c r="B95" i="6" s="1"/>
  <c r="E21" i="6"/>
  <c r="E59" i="6" s="1"/>
  <c r="E97" i="6" s="1"/>
  <c r="D23" i="6"/>
  <c r="D61" i="6" s="1"/>
  <c r="D99" i="6" s="1"/>
  <c r="I14" i="6"/>
  <c r="I52" i="6" s="1"/>
  <c r="I90" i="6" s="1"/>
  <c r="B14" i="6"/>
  <c r="B52" i="6" s="1"/>
  <c r="B90" i="6" s="1"/>
  <c r="J12" i="6"/>
  <c r="J50" i="6" s="1"/>
  <c r="J88" i="6" s="1"/>
  <c r="H13" i="6"/>
  <c r="H51" i="6" s="1"/>
  <c r="H89" i="6" s="1"/>
  <c r="C22" i="6"/>
  <c r="C60" i="6" s="1"/>
  <c r="C98" i="6" s="1"/>
  <c r="K11" i="6"/>
  <c r="K49" i="6" s="1"/>
  <c r="K87" i="6" s="1"/>
  <c r="I11" i="6"/>
  <c r="I49" i="6" s="1"/>
  <c r="I87" i="6" s="1"/>
  <c r="J22" i="6"/>
  <c r="J60" i="6" s="1"/>
  <c r="J98" i="6" s="1"/>
  <c r="E17" i="6"/>
  <c r="E55" i="6" s="1"/>
  <c r="E93" i="6" s="1"/>
  <c r="J24" i="6"/>
  <c r="J62" i="6" s="1"/>
  <c r="J100" i="6" s="1"/>
  <c r="H14" i="6"/>
  <c r="H52" i="6" s="1"/>
  <c r="H90" i="6" s="1"/>
  <c r="J20" i="6"/>
  <c r="J58" i="6" s="1"/>
  <c r="J96" i="6" s="1"/>
  <c r="D17" i="6"/>
  <c r="D55" i="6" s="1"/>
  <c r="D93" i="6" s="1"/>
  <c r="D20" i="6"/>
  <c r="D58" i="6" s="1"/>
  <c r="D96" i="6" s="1"/>
  <c r="E19" i="6"/>
  <c r="E57" i="6" s="1"/>
  <c r="E95" i="6" s="1"/>
  <c r="J26" i="6"/>
  <c r="J64" i="6" s="1"/>
  <c r="J102" i="6" s="1"/>
  <c r="C18" i="6"/>
  <c r="C56" i="6" s="1"/>
  <c r="C94" i="6" s="1"/>
  <c r="B13" i="6"/>
  <c r="B51" i="6" s="1"/>
  <c r="B89" i="6" s="1"/>
  <c r="C26" i="6"/>
  <c r="C64" i="6" s="1"/>
  <c r="C102" i="6" s="1"/>
  <c r="E16" i="6"/>
  <c r="E54" i="6" s="1"/>
  <c r="E92" i="6" s="1"/>
  <c r="D22" i="6"/>
  <c r="D60" i="6" s="1"/>
  <c r="D98" i="6" s="1"/>
  <c r="D14" i="6"/>
  <c r="D52" i="6" s="1"/>
  <c r="D90" i="6" s="1"/>
  <c r="E13" i="6"/>
  <c r="E51" i="6" s="1"/>
  <c r="E89" i="6" s="1"/>
  <c r="I17" i="6"/>
  <c r="I55" i="6" s="1"/>
  <c r="I93" i="6" s="1"/>
  <c r="B23" i="6"/>
  <c r="B61" i="6" s="1"/>
  <c r="B99" i="6" s="1"/>
  <c r="D25" i="6"/>
  <c r="D63" i="6" s="1"/>
  <c r="D101" i="6" s="1"/>
  <c r="C25" i="6"/>
  <c r="C63" i="6" s="1"/>
  <c r="C101" i="6" s="1"/>
  <c r="I16" i="6"/>
  <c r="I54" i="6" s="1"/>
  <c r="I92" i="6" s="1"/>
  <c r="C17" i="6"/>
  <c r="C55" i="6" s="1"/>
  <c r="C93" i="6" s="1"/>
  <c r="J11" i="6"/>
  <c r="J49" i="6" s="1"/>
  <c r="J87" i="6" s="1"/>
  <c r="D19" i="6"/>
  <c r="D57" i="6" s="1"/>
  <c r="D95" i="6" s="1"/>
  <c r="E15" i="6"/>
  <c r="E53" i="6" s="1"/>
  <c r="E91" i="6" s="1"/>
  <c r="E23" i="6"/>
  <c r="E61" i="6" s="1"/>
  <c r="E99" i="6" s="1"/>
  <c r="C16" i="6"/>
  <c r="C54" i="6" s="1"/>
  <c r="C92" i="6" s="1"/>
  <c r="K17" i="6"/>
  <c r="K55" i="6" s="1"/>
  <c r="K93" i="6" s="1"/>
  <c r="I23" i="6"/>
  <c r="I61" i="6" s="1"/>
  <c r="I99" i="6" s="1"/>
  <c r="J21" i="6"/>
  <c r="J59" i="6" s="1"/>
  <c r="J97" i="6" s="1"/>
  <c r="I22" i="6"/>
  <c r="I60" i="6" s="1"/>
  <c r="I98" i="6" s="1"/>
  <c r="H15" i="6"/>
  <c r="H53" i="6" s="1"/>
  <c r="H91" i="6" s="1"/>
  <c r="K13" i="6"/>
  <c r="K51" i="6" s="1"/>
  <c r="K89" i="6" s="1"/>
  <c r="I21" i="6"/>
  <c r="I59" i="6" s="1"/>
  <c r="I97" i="6" s="1"/>
  <c r="J19" i="6"/>
  <c r="J57" i="6" s="1"/>
  <c r="J95" i="6" s="1"/>
  <c r="B18" i="6"/>
  <c r="B56" i="6" s="1"/>
  <c r="B94" i="6" s="1"/>
  <c r="K26" i="6"/>
  <c r="K64" i="6" s="1"/>
  <c r="K102" i="6" s="1"/>
  <c r="E14" i="6"/>
  <c r="E52" i="6" s="1"/>
  <c r="E90" i="6" s="1"/>
  <c r="D26" i="6"/>
  <c r="D64" i="6" s="1"/>
  <c r="D102" i="6" s="1"/>
  <c r="B12" i="6"/>
  <c r="B50" i="6" s="1"/>
  <c r="B88" i="6" s="1"/>
  <c r="K23" i="6"/>
  <c r="K61" i="6" s="1"/>
  <c r="K99" i="6" s="1"/>
  <c r="D24" i="6"/>
  <c r="D62" i="6" s="1"/>
  <c r="D100" i="6" s="1"/>
  <c r="B17" i="6"/>
  <c r="B55" i="6" s="1"/>
  <c r="B93" i="6" s="1"/>
  <c r="K18" i="6"/>
  <c r="K56" i="6" s="1"/>
  <c r="K94" i="6" s="1"/>
  <c r="D13" i="6"/>
  <c r="D51" i="6" s="1"/>
  <c r="D89" i="6" s="1"/>
  <c r="H20" i="6"/>
  <c r="H58" i="6" s="1"/>
  <c r="H96" i="6" s="1"/>
  <c r="C14" i="6"/>
  <c r="C52" i="6" s="1"/>
  <c r="C90" i="6" s="1"/>
  <c r="E20" i="6"/>
  <c r="E58" i="6" s="1"/>
  <c r="E96" i="6" s="1"/>
  <c r="E12" i="6"/>
  <c r="E50" i="6" s="1"/>
  <c r="E88" i="6" s="1"/>
  <c r="D12" i="6"/>
  <c r="D50" i="6" s="1"/>
  <c r="D88" i="6" s="1"/>
  <c r="H24" i="6"/>
  <c r="H62" i="6" s="1"/>
  <c r="H100" i="6" s="1"/>
  <c r="J15" i="6"/>
  <c r="J53" i="6" s="1"/>
  <c r="J91" i="6" s="1"/>
  <c r="K19" i="6"/>
  <c r="K57" i="6" s="1"/>
  <c r="K95" i="6" s="1"/>
  <c r="I20" i="6"/>
  <c r="I58" i="6" s="1"/>
  <c r="I96" i="6" s="1"/>
  <c r="I19" i="6"/>
  <c r="I57" i="6" s="1"/>
  <c r="I95" i="6" s="1"/>
  <c r="H11" i="6"/>
  <c r="H49" i="6" s="1"/>
  <c r="H87" i="6" s="1"/>
  <c r="J25" i="6"/>
  <c r="J63" i="6" s="1"/>
  <c r="J101" i="6" s="1"/>
  <c r="C13" i="6"/>
  <c r="C51" i="6" s="1"/>
  <c r="C89" i="6" s="1"/>
  <c r="H19" i="6"/>
  <c r="H57" i="6" s="1"/>
  <c r="H95" i="6" s="1"/>
  <c r="E24" i="6"/>
  <c r="E62" i="6" s="1"/>
  <c r="E100" i="6" s="1"/>
  <c r="E18" i="6"/>
  <c r="E56" i="6" s="1"/>
  <c r="E94" i="6" s="1"/>
  <c r="D18" i="6"/>
  <c r="D56" i="6" s="1"/>
  <c r="D94" i="6" s="1"/>
  <c r="J14" i="6"/>
  <c r="J52" i="6" s="1"/>
  <c r="J90" i="6" s="1"/>
  <c r="I15" i="6"/>
  <c r="I53" i="6" s="1"/>
  <c r="I91" i="6" s="1"/>
  <c r="J16" i="6"/>
  <c r="J54" i="6" s="1"/>
  <c r="J92" i="6" s="1"/>
  <c r="C23" i="6"/>
  <c r="C61" i="6" s="1"/>
  <c r="C99" i="6" s="1"/>
  <c r="B15" i="6"/>
  <c r="B53" i="6" s="1"/>
  <c r="B91" i="6" s="1"/>
  <c r="H12" i="6"/>
  <c r="H50" i="6" s="1"/>
  <c r="H88" i="6" s="1"/>
  <c r="C15" i="6"/>
  <c r="C53" i="6" s="1"/>
  <c r="C91" i="6" s="1"/>
  <c r="C21" i="6"/>
  <c r="C59" i="6" s="1"/>
  <c r="C97" i="6" s="1"/>
  <c r="I12" i="6"/>
  <c r="I50" i="6" s="1"/>
  <c r="I88" i="6" s="1"/>
  <c r="I25" i="6"/>
  <c r="I63" i="6" s="1"/>
  <c r="I101" i="6" s="1"/>
  <c r="I18" i="6"/>
  <c r="I56" i="6" s="1"/>
  <c r="I94" i="6" s="1"/>
  <c r="E26" i="6"/>
  <c r="E64" i="6" s="1"/>
  <c r="E102" i="6" s="1"/>
  <c r="H22" i="6"/>
  <c r="H60" i="6" s="1"/>
  <c r="H98" i="6" s="1"/>
  <c r="K12" i="6"/>
  <c r="K50" i="6" s="1"/>
  <c r="K88" i="6" s="1"/>
  <c r="H23" i="6"/>
  <c r="H61" i="6" s="1"/>
  <c r="H99" i="6" s="1"/>
  <c r="H26" i="6"/>
  <c r="H64" i="6" s="1"/>
  <c r="H102" i="6" s="1"/>
  <c r="C11" i="6"/>
  <c r="C49" i="6" s="1"/>
  <c r="C87" i="6" s="1"/>
  <c r="E25" i="6"/>
  <c r="E63" i="6" s="1"/>
  <c r="E101" i="6" s="1"/>
  <c r="D11" i="6"/>
  <c r="D49" i="6" s="1"/>
  <c r="D87" i="6" s="1"/>
  <c r="J23" i="6"/>
  <c r="J61" i="6" s="1"/>
  <c r="J99" i="6" s="1"/>
  <c r="B24" i="6"/>
  <c r="B62" i="6" s="1"/>
  <c r="B100" i="6" s="1"/>
  <c r="D21" i="6"/>
  <c r="D59" i="6" s="1"/>
  <c r="D97" i="6" s="1"/>
  <c r="K21" i="6"/>
  <c r="K59" i="6" s="1"/>
  <c r="K97" i="6" s="1"/>
  <c r="K22" i="6"/>
  <c r="K60" i="6" s="1"/>
  <c r="K98" i="6" s="1"/>
  <c r="K24" i="6"/>
  <c r="K62" i="6" s="1"/>
  <c r="K100" i="6" s="1"/>
  <c r="E22" i="6"/>
  <c r="E60" i="6" s="1"/>
  <c r="E98" i="6" s="1"/>
  <c r="C12" i="6"/>
  <c r="C50" i="6" s="1"/>
  <c r="C88" i="6" s="1"/>
  <c r="I24" i="6"/>
  <c r="I62" i="6" s="1"/>
  <c r="I100" i="6" s="1"/>
  <c r="I13" i="6"/>
  <c r="I51" i="6" s="1"/>
  <c r="I89" i="6" s="1"/>
  <c r="B20" i="6"/>
  <c r="B58" i="6" s="1"/>
  <c r="B96" i="6" s="1"/>
  <c r="J13" i="6"/>
  <c r="J51" i="6" s="1"/>
  <c r="J89" i="6" s="1"/>
  <c r="K20" i="6"/>
  <c r="K58" i="6" s="1"/>
  <c r="K96" i="6" s="1"/>
  <c r="C19" i="6"/>
  <c r="C57" i="6" s="1"/>
  <c r="C95" i="6" s="1"/>
  <c r="E11" i="6"/>
  <c r="E49" i="6" s="1"/>
  <c r="E87" i="6" s="1"/>
  <c r="C20" i="6"/>
  <c r="C58" i="6" s="1"/>
  <c r="C96" i="6" s="1"/>
  <c r="B22" i="6"/>
  <c r="B60" i="6" s="1"/>
  <c r="B98" i="6" s="1"/>
  <c r="H16" i="6"/>
  <c r="H54" i="6" s="1"/>
  <c r="H92" i="6" s="1"/>
  <c r="D16" i="6"/>
  <c r="D54" i="6" s="1"/>
  <c r="D92" i="6" s="1"/>
  <c r="J17" i="6"/>
  <c r="J55" i="6" s="1"/>
  <c r="J93" i="6" s="1"/>
  <c r="H25" i="6"/>
  <c r="H63" i="6" s="1"/>
  <c r="H101" i="6" s="1"/>
  <c r="B11" i="6"/>
  <c r="B49" i="6" s="1"/>
  <c r="B87" i="6" s="1"/>
  <c r="H17" i="6"/>
  <c r="H55" i="6" s="1"/>
  <c r="H93" i="6" s="1"/>
  <c r="H18" i="6"/>
  <c r="H56" i="6" s="1"/>
  <c r="H94" i="6" s="1"/>
  <c r="I26" i="6"/>
  <c r="I64" i="6" s="1"/>
  <c r="I102" i="6" s="1"/>
  <c r="H21" i="6"/>
  <c r="H59" i="6" s="1"/>
  <c r="H97" i="6" s="1"/>
  <c r="J20" i="2"/>
  <c r="J58" i="2" s="1"/>
  <c r="J96" i="2" s="1"/>
  <c r="H26" i="2"/>
  <c r="H64" i="2" s="1"/>
  <c r="H102" i="2" s="1"/>
  <c r="I13" i="2"/>
  <c r="I51" i="2" s="1"/>
  <c r="I89" i="2" s="1"/>
  <c r="H16" i="2"/>
  <c r="H54" i="2" s="1"/>
  <c r="H92" i="2" s="1"/>
  <c r="K18" i="2"/>
  <c r="K56" i="2" s="1"/>
  <c r="K94" i="2" s="1"/>
  <c r="I24" i="2"/>
  <c r="I62" i="2" s="1"/>
  <c r="I100" i="2" s="1"/>
  <c r="C22" i="2"/>
  <c r="C60" i="2" s="1"/>
  <c r="C98" i="2" s="1"/>
  <c r="C20" i="2"/>
  <c r="C58" i="2" s="1"/>
  <c r="C96" i="2" s="1"/>
  <c r="K26" i="2"/>
  <c r="K64" i="2" s="1"/>
  <c r="K102" i="2" s="1"/>
  <c r="J11" i="2"/>
  <c r="J49" i="2" s="1"/>
  <c r="J87" i="2" s="1"/>
  <c r="J16" i="2"/>
  <c r="J54" i="2" s="1"/>
  <c r="J92" i="2" s="1"/>
  <c r="J23" i="2"/>
  <c r="J61" i="2" s="1"/>
  <c r="J99" i="2" s="1"/>
  <c r="I11" i="2"/>
  <c r="I49" i="2" s="1"/>
  <c r="I87" i="2" s="1"/>
  <c r="K20" i="2"/>
  <c r="K58" i="2" s="1"/>
  <c r="K96" i="2" s="1"/>
  <c r="B13" i="2"/>
  <c r="B51" i="2" s="1"/>
  <c r="B89" i="2" s="1"/>
  <c r="C19" i="2"/>
  <c r="C57" i="2" s="1"/>
  <c r="C95" i="2" s="1"/>
  <c r="H13" i="2"/>
  <c r="H51" i="2" s="1"/>
  <c r="H89" i="2" s="1"/>
  <c r="I14" i="2"/>
  <c r="I52" i="2" s="1"/>
  <c r="I90" i="2" s="1"/>
  <c r="C13" i="2"/>
  <c r="C51" i="2" s="1"/>
  <c r="C89" i="2" s="1"/>
  <c r="C25" i="2"/>
  <c r="C63" i="2" s="1"/>
  <c r="C101" i="2" s="1"/>
  <c r="B14" i="2"/>
  <c r="B52" i="2" s="1"/>
  <c r="B90" i="2" s="1"/>
  <c r="E25" i="2"/>
  <c r="E63" i="2" s="1"/>
  <c r="E101" i="2" s="1"/>
  <c r="K14" i="2"/>
  <c r="K52" i="2" s="1"/>
  <c r="K90" i="2" s="1"/>
  <c r="C26" i="2"/>
  <c r="C64" i="2" s="1"/>
  <c r="C102" i="2" s="1"/>
  <c r="K21" i="2"/>
  <c r="K59" i="2" s="1"/>
  <c r="K97" i="2" s="1"/>
  <c r="E14" i="2"/>
  <c r="E52" i="2" s="1"/>
  <c r="E90" i="2" s="1"/>
  <c r="J13" i="2"/>
  <c r="J51" i="2" s="1"/>
  <c r="J89" i="2" s="1"/>
  <c r="D16" i="2"/>
  <c r="D54" i="2" s="1"/>
  <c r="D92" i="2" s="1"/>
  <c r="D21" i="2"/>
  <c r="D59" i="2" s="1"/>
  <c r="D97" i="2" s="1"/>
  <c r="B16" i="2"/>
  <c r="B54" i="2" s="1"/>
  <c r="B92" i="2" s="1"/>
  <c r="E13" i="2"/>
  <c r="E51" i="2" s="1"/>
  <c r="E89" i="2" s="1"/>
  <c r="D25" i="2"/>
  <c r="D63" i="2" s="1"/>
  <c r="D101" i="2" s="1"/>
  <c r="C17" i="2"/>
  <c r="C55" i="2" s="1"/>
  <c r="C93" i="2" s="1"/>
  <c r="D17" i="2"/>
  <c r="D55" i="2" s="1"/>
  <c r="D93" i="2" s="1"/>
  <c r="B19" i="2"/>
  <c r="B57" i="2" s="1"/>
  <c r="B95" i="2" s="1"/>
  <c r="H21" i="2"/>
  <c r="H59" i="2" s="1"/>
  <c r="H97" i="2" s="1"/>
  <c r="E23" i="2"/>
  <c r="E61" i="2" s="1"/>
  <c r="E99" i="2" s="1"/>
  <c r="H19" i="2"/>
  <c r="H57" i="2" s="1"/>
  <c r="H95" i="2" s="1"/>
  <c r="C11" i="2"/>
  <c r="C49" i="2" s="1"/>
  <c r="C87" i="2" s="1"/>
  <c r="D23" i="2"/>
  <c r="D61" i="2" s="1"/>
  <c r="D99" i="2" s="1"/>
  <c r="B22" i="2"/>
  <c r="B60" i="2" s="1"/>
  <c r="B98" i="2" s="1"/>
  <c r="E16" i="2"/>
  <c r="E54" i="2" s="1"/>
  <c r="E92" i="2" s="1"/>
  <c r="H25" i="2"/>
  <c r="H63" i="2" s="1"/>
  <c r="H101" i="2" s="1"/>
  <c r="I20" i="2"/>
  <c r="I58" i="2" s="1"/>
  <c r="I96" i="2" s="1"/>
  <c r="E26" i="2"/>
  <c r="E64" i="2" s="1"/>
  <c r="E102" i="2" s="1"/>
  <c r="B26" i="2"/>
  <c r="B64" i="2" s="1"/>
  <c r="B102" i="2" s="1"/>
  <c r="H20" i="2"/>
  <c r="H58" i="2" s="1"/>
  <c r="H96" i="2" s="1"/>
  <c r="D13" i="2"/>
  <c r="D51" i="2" s="1"/>
  <c r="D89" i="2" s="1"/>
  <c r="I25" i="2"/>
  <c r="I63" i="2" s="1"/>
  <c r="I101" i="2" s="1"/>
  <c r="D26" i="2"/>
  <c r="D64" i="2" s="1"/>
  <c r="D102" i="2" s="1"/>
  <c r="J19" i="2"/>
  <c r="J57" i="2" s="1"/>
  <c r="J95" i="2" s="1"/>
  <c r="D19" i="2"/>
  <c r="D57" i="2" s="1"/>
  <c r="D95" i="2" s="1"/>
  <c r="H14" i="2"/>
  <c r="H52" i="2" s="1"/>
  <c r="H90" i="2" s="1"/>
  <c r="I26" i="2"/>
  <c r="I64" i="2" s="1"/>
  <c r="I102" i="2" s="1"/>
  <c r="K25" i="2"/>
  <c r="K63" i="2" s="1"/>
  <c r="K101" i="2" s="1"/>
  <c r="D20" i="2"/>
  <c r="D58" i="2" s="1"/>
  <c r="D96" i="2" s="1"/>
  <c r="E24" i="2"/>
  <c r="E62" i="2" s="1"/>
  <c r="E100" i="2" s="1"/>
  <c r="I15" i="2"/>
  <c r="I53" i="2" s="1"/>
  <c r="I91" i="2" s="1"/>
  <c r="D15" i="2"/>
  <c r="D53" i="2" s="1"/>
  <c r="D91" i="2" s="1"/>
  <c r="E20" i="2"/>
  <c r="E58" i="2" s="1"/>
  <c r="E96" i="2" s="1"/>
  <c r="E15" i="2"/>
  <c r="E53" i="2" s="1"/>
  <c r="E91" i="2" s="1"/>
  <c r="E12" i="2"/>
  <c r="E50" i="2" s="1"/>
  <c r="E88" i="2" s="1"/>
  <c r="E21" i="2"/>
  <c r="E59" i="2" s="1"/>
  <c r="E97" i="2" s="1"/>
  <c r="B11" i="2"/>
  <c r="B49" i="2" s="1"/>
  <c r="B87" i="2" s="1"/>
  <c r="K23" i="2"/>
  <c r="K61" i="2" s="1"/>
  <c r="K99" i="2" s="1"/>
  <c r="H24" i="2"/>
  <c r="H62" i="2" s="1"/>
  <c r="H100" i="2" s="1"/>
  <c r="H22" i="2"/>
  <c r="H60" i="2" s="1"/>
  <c r="H98" i="2" s="1"/>
  <c r="B23" i="2"/>
  <c r="B61" i="2" s="1"/>
  <c r="B99" i="2" s="1"/>
  <c r="E11" i="2"/>
  <c r="E49" i="2" s="1"/>
  <c r="E87" i="2" s="1"/>
  <c r="I19" i="2"/>
  <c r="I57" i="2" s="1"/>
  <c r="I95" i="2" s="1"/>
  <c r="J24" i="2"/>
  <c r="J62" i="2" s="1"/>
  <c r="J100" i="2" s="1"/>
  <c r="J14" i="2"/>
  <c r="J52" i="2" s="1"/>
  <c r="J90" i="2" s="1"/>
  <c r="I12" i="2"/>
  <c r="I50" i="2" s="1"/>
  <c r="I88" i="2" s="1"/>
  <c r="D11" i="2"/>
  <c r="D49" i="2" s="1"/>
  <c r="D87" i="2" s="1"/>
  <c r="B20" i="2"/>
  <c r="B58" i="2" s="1"/>
  <c r="B96" i="2" s="1"/>
  <c r="H17" i="2"/>
  <c r="H55" i="2" s="1"/>
  <c r="H93" i="2" s="1"/>
  <c r="K12" i="2"/>
  <c r="K50" i="2" s="1"/>
  <c r="K88" i="2" s="1"/>
  <c r="C23" i="2"/>
  <c r="C61" i="2" s="1"/>
  <c r="C99" i="2" s="1"/>
  <c r="J21" i="2"/>
  <c r="J59" i="2" s="1"/>
  <c r="J97" i="2" s="1"/>
  <c r="I17" i="2"/>
  <c r="I55" i="2" s="1"/>
  <c r="I93" i="2" s="1"/>
  <c r="K24" i="2"/>
  <c r="K62" i="2" s="1"/>
  <c r="K100" i="2" s="1"/>
  <c r="K11" i="2"/>
  <c r="K49" i="2" s="1"/>
  <c r="K87" i="2" s="1"/>
  <c r="C21" i="2"/>
  <c r="C59" i="2" s="1"/>
  <c r="C97" i="2" s="1"/>
  <c r="H15" i="2"/>
  <c r="H53" i="2" s="1"/>
  <c r="H91" i="2" s="1"/>
  <c r="B18" i="2"/>
  <c r="B56" i="2" s="1"/>
  <c r="B94" i="2" s="1"/>
  <c r="I23" i="2"/>
  <c r="I61" i="2" s="1"/>
  <c r="I99" i="2" s="1"/>
  <c r="I16" i="2"/>
  <c r="I54" i="2" s="1"/>
  <c r="I92" i="2" s="1"/>
  <c r="K22" i="2"/>
  <c r="K60" i="2" s="1"/>
  <c r="K98" i="2" s="1"/>
  <c r="C24" i="2"/>
  <c r="C62" i="2" s="1"/>
  <c r="C100" i="2" s="1"/>
  <c r="D18" i="2"/>
  <c r="D56" i="2" s="1"/>
  <c r="D94" i="2" s="1"/>
  <c r="J12" i="2"/>
  <c r="J50" i="2" s="1"/>
  <c r="J88" i="2" s="1"/>
  <c r="J18" i="2"/>
  <c r="J56" i="2" s="1"/>
  <c r="J94" i="2" s="1"/>
  <c r="J22" i="2"/>
  <c r="J60" i="2" s="1"/>
  <c r="J98" i="2" s="1"/>
  <c r="I22" i="2"/>
  <c r="I60" i="2" s="1"/>
  <c r="I98" i="2" s="1"/>
  <c r="H12" i="2"/>
  <c r="H50" i="2" s="1"/>
  <c r="H88" i="2" s="1"/>
  <c r="E17" i="2"/>
  <c r="E55" i="2" s="1"/>
  <c r="E93" i="2" s="1"/>
  <c r="C16" i="2"/>
  <c r="C54" i="2" s="1"/>
  <c r="C92" i="2" s="1"/>
  <c r="H18" i="2"/>
  <c r="H56" i="2" s="1"/>
  <c r="H94" i="2" s="1"/>
  <c r="J15" i="2"/>
  <c r="J53" i="2" s="1"/>
  <c r="J91" i="2" s="1"/>
  <c r="D24" i="2"/>
  <c r="D62" i="2" s="1"/>
  <c r="D100" i="2" s="1"/>
  <c r="H11" i="2"/>
  <c r="H49" i="2" s="1"/>
  <c r="H87" i="2" s="1"/>
  <c r="E19" i="2"/>
  <c r="E57" i="2" s="1"/>
  <c r="E95" i="2" s="1"/>
  <c r="B25" i="2"/>
  <c r="B63" i="2" s="1"/>
  <c r="B101" i="2" s="1"/>
  <c r="K17" i="2"/>
  <c r="K55" i="2" s="1"/>
  <c r="K93" i="2" s="1"/>
  <c r="B24" i="2"/>
  <c r="B62" i="2" s="1"/>
  <c r="B100" i="2" s="1"/>
  <c r="C14" i="2"/>
  <c r="C52" i="2" s="1"/>
  <c r="C90" i="2" s="1"/>
  <c r="D22" i="2"/>
  <c r="D60" i="2" s="1"/>
  <c r="D98" i="2" s="1"/>
  <c r="C18" i="2"/>
  <c r="C56" i="2" s="1"/>
  <c r="C94" i="2" s="1"/>
  <c r="B17" i="2"/>
  <c r="B55" i="2" s="1"/>
  <c r="B93" i="2" s="1"/>
  <c r="K15" i="2"/>
  <c r="K53" i="2" s="1"/>
  <c r="K91" i="2" s="1"/>
  <c r="J17" i="2"/>
  <c r="J55" i="2" s="1"/>
  <c r="J93" i="2" s="1"/>
  <c r="I18" i="2"/>
  <c r="I56" i="2" s="1"/>
  <c r="I94" i="2" s="1"/>
  <c r="B21" i="2"/>
  <c r="B59" i="2" s="1"/>
  <c r="B97" i="2" s="1"/>
  <c r="I21" i="2"/>
  <c r="I59" i="2" s="1"/>
  <c r="I97" i="2" s="1"/>
  <c r="B15" i="2"/>
  <c r="B53" i="2" s="1"/>
  <c r="B91" i="2" s="1"/>
  <c r="H23" i="2"/>
  <c r="H61" i="2" s="1"/>
  <c r="H99" i="2" s="1"/>
  <c r="J26" i="2"/>
  <c r="J64" i="2" s="1"/>
  <c r="J102" i="2" s="1"/>
  <c r="B12" i="2"/>
  <c r="B50" i="2" s="1"/>
  <c r="B88" i="2" s="1"/>
  <c r="D14" i="2"/>
  <c r="D52" i="2" s="1"/>
  <c r="D90" i="2" s="1"/>
  <c r="K16" i="2"/>
  <c r="K54" i="2" s="1"/>
  <c r="K92" i="2" s="1"/>
  <c r="K19" i="2"/>
  <c r="K57" i="2" s="1"/>
  <c r="K95" i="2" s="1"/>
  <c r="E18" i="2"/>
  <c r="E56" i="2" s="1"/>
  <c r="E94" i="2" s="1"/>
  <c r="E22" i="2"/>
  <c r="E60" i="2" s="1"/>
  <c r="E98" i="2" s="1"/>
  <c r="C12" i="2"/>
  <c r="C50" i="2" s="1"/>
  <c r="C88" i="2" s="1"/>
  <c r="J25" i="2"/>
  <c r="J63" i="2" s="1"/>
  <c r="J101" i="2" s="1"/>
  <c r="C15" i="2"/>
  <c r="C53" i="2" s="1"/>
  <c r="C91" i="2" s="1"/>
  <c r="K13" i="2"/>
  <c r="K51" i="2" s="1"/>
  <c r="K89" i="2" s="1"/>
  <c r="D12" i="2"/>
  <c r="D50" i="2" s="1"/>
  <c r="D88" i="2" s="1"/>
  <c r="M36" i="4"/>
  <c r="L36" i="4"/>
  <c r="L9" i="4"/>
  <c r="M9" i="4"/>
  <c r="W9" i="4" s="1"/>
  <c r="M26" i="4"/>
  <c r="W26" i="4" s="1"/>
  <c r="L26" i="4"/>
  <c r="M18" i="4"/>
  <c r="W18" i="4" s="1"/>
  <c r="L18" i="4"/>
  <c r="M19" i="4"/>
  <c r="W19" i="4" s="1"/>
  <c r="L19" i="4"/>
  <c r="L8" i="4"/>
  <c r="M8" i="4"/>
  <c r="W8" i="4" s="1"/>
  <c r="M28" i="4"/>
  <c r="W28" i="4" s="1"/>
  <c r="L28" i="4"/>
  <c r="L10" i="4"/>
  <c r="M10" i="4"/>
  <c r="W10" i="4" s="1"/>
  <c r="M20" i="4"/>
  <c r="W20" i="4" s="1"/>
  <c r="L20" i="4"/>
  <c r="M31" i="4"/>
  <c r="W31" i="4" s="1"/>
  <c r="L31" i="4"/>
  <c r="M7" i="4"/>
  <c r="W7" i="4" s="1"/>
  <c r="L7" i="4"/>
  <c r="L17" i="4"/>
  <c r="M17" i="4"/>
  <c r="W17" i="4" s="1"/>
  <c r="M14" i="4"/>
  <c r="W14" i="4" s="1"/>
  <c r="L14" i="4"/>
  <c r="M23" i="4"/>
  <c r="W23" i="4" s="1"/>
  <c r="L23" i="4"/>
  <c r="L21" i="4"/>
  <c r="M21" i="4"/>
  <c r="W21" i="4" s="1"/>
  <c r="M6" i="4"/>
  <c r="W6" i="4" s="1"/>
  <c r="L6" i="4"/>
  <c r="M12" i="4"/>
  <c r="W12" i="4" s="1"/>
  <c r="L12" i="4"/>
  <c r="M16" i="4"/>
  <c r="W16" i="4" s="1"/>
  <c r="L16" i="4"/>
  <c r="M13" i="4"/>
  <c r="W13" i="4" s="1"/>
  <c r="L13" i="4"/>
  <c r="M29" i="4"/>
  <c r="W29" i="4" s="1"/>
  <c r="L29" i="4"/>
  <c r="M22" i="4"/>
  <c r="W22" i="4" s="1"/>
  <c r="L22" i="4"/>
  <c r="M33" i="4"/>
  <c r="W33" i="4" s="1"/>
  <c r="L33" i="4"/>
  <c r="M25" i="4"/>
  <c r="W25" i="4" s="1"/>
  <c r="L25" i="4"/>
  <c r="L11" i="4"/>
  <c r="M11" i="4"/>
  <c r="W11" i="4" s="1"/>
  <c r="M34" i="4"/>
  <c r="W34" i="4" s="1"/>
  <c r="L34" i="4"/>
  <c r="M30" i="4"/>
  <c r="W30" i="4" s="1"/>
  <c r="L30" i="4"/>
  <c r="M15" i="4"/>
  <c r="W15" i="4" s="1"/>
  <c r="L15" i="4"/>
  <c r="M27" i="4"/>
  <c r="W27" i="4" s="1"/>
  <c r="L27" i="4"/>
  <c r="I64" i="4"/>
  <c r="J64" i="4"/>
  <c r="M5" i="4"/>
  <c r="L5" i="4"/>
  <c r="K64" i="4"/>
  <c r="M32" i="4"/>
  <c r="W32" i="4" s="1"/>
  <c r="L32" i="4"/>
  <c r="M24" i="4"/>
  <c r="W24" i="4" s="1"/>
  <c r="L24" i="4"/>
  <c r="M35" i="4"/>
  <c r="W35" i="4" s="1"/>
  <c r="L35" i="4"/>
  <c r="J33" i="6" l="1"/>
  <c r="J71" i="6" s="1"/>
  <c r="J109" i="6" s="1"/>
  <c r="J33" i="2"/>
  <c r="J71" i="2" s="1"/>
  <c r="J109" i="2" s="1"/>
  <c r="W36" i="4"/>
  <c r="K35" i="2"/>
  <c r="K73" i="2" s="1"/>
  <c r="K111" i="2" s="1"/>
  <c r="K35" i="6"/>
  <c r="K73" i="6" s="1"/>
  <c r="K111" i="6" s="1"/>
  <c r="J67" i="6"/>
  <c r="J105" i="6" s="1"/>
  <c r="K31" i="6"/>
  <c r="K69" i="6" s="1"/>
  <c r="K107" i="6" s="1"/>
  <c r="K31" i="2"/>
  <c r="K69" i="2" s="1"/>
  <c r="K107" i="2" s="1"/>
  <c r="J67" i="2"/>
  <c r="J105" i="2" s="1"/>
  <c r="L64" i="4"/>
  <c r="AA5" i="4"/>
  <c r="W5" i="4"/>
  <c r="AA4" i="4"/>
  <c r="AA6" i="4" s="1"/>
  <c r="M64" i="4"/>
</calcChain>
</file>

<file path=xl/sharedStrings.xml><?xml version="1.0" encoding="utf-8"?>
<sst xmlns="http://schemas.openxmlformats.org/spreadsheetml/2006/main" count="885" uniqueCount="436">
  <si>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</si>
  <si>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</si>
  <si>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</si>
  <si>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</si>
  <si>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</si>
  <si>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</si>
  <si>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</si>
  <si>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</si>
  <si>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</si>
  <si>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</si>
  <si>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</si>
  <si>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</si>
  <si>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</si>
  <si>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</si>
  <si>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</si>
  <si>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</si>
  <si>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</si>
  <si>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</si>
  <si>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</si>
  <si>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</si>
  <si>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</si>
  <si>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</si>
  <si>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</si>
  <si>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</si>
  <si>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</si>
  <si>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</si>
  <si>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</si>
  <si>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</si>
  <si>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</si>
  <si>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</si>
  <si>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</si>
  <si>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</si>
  <si>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</si>
  <si>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</si>
  <si>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</si>
  <si>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</si>
  <si>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</si>
  <si>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</si>
  <si>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</si>
  <si>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</si>
  <si>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</si>
  <si>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</si>
  <si>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</si>
  <si>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</si>
  <si>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</si>
  <si>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</si>
  <si>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</si>
  <si>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</si>
  <si>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</si>
  <si>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</si>
  <si>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</si>
  <si>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</si>
  <si>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</si>
  <si>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</si>
  <si>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</si>
  <si>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</si>
  <si>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</si>
  <si>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</si>
  <si>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</si>
  <si>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</si>
  <si>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</si>
  <si>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</si>
  <si>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</si>
  <si>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</si>
  <si>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</si>
  <si>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</si>
  <si>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</si>
  <si>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</si>
  <si>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</si>
  <si>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</si>
  <si>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</si>
  <si>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</si>
  <si>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</si>
  <si>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</si>
  <si>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</si>
  <si>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</si>
  <si>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</si>
  <si>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</si>
  <si>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</si>
  <si>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</si>
  <si>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</si>
  <si>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</si>
  <si>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</si>
  <si>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</si>
  <si>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</si>
  <si>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</si>
  <si>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</si>
  <si>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</si>
  <si>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</si>
  <si>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</si>
  <si>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</si>
  <si>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</si>
  <si>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</si>
  <si>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</si>
  <si>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</si>
  <si>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</si>
  <si>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</si>
  <si>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</si>
  <si>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</si>
  <si>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</si>
  <si>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</si>
  <si>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</si>
  <si>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</si>
  <si>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</si>
  <si>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</si>
  <si>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</si>
  <si>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</si>
  <si>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</si>
  <si>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</si>
  <si>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</si>
  <si>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</si>
  <si>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</si>
  <si>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</si>
  <si>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</si>
  <si>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</si>
  <si>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</si>
  <si>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</si>
  <si>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</si>
  <si>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</si>
  <si>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</si>
  <si>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</si>
  <si>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</si>
  <si>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</si>
  <si>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</si>
  <si>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</si>
  <si>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</si>
  <si>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</si>
  <si>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</si>
  <si>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</si>
  <si>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</si>
  <si>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</si>
  <si>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</si>
  <si>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</si>
  <si>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</si>
  <si>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</si>
  <si>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</si>
  <si>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</si>
  <si>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</si>
  <si>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</si>
  <si>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</si>
  <si>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</si>
  <si>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</si>
  <si>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</si>
  <si>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</si>
  <si>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</si>
  <si>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</si>
  <si>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</si>
  <si>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</si>
  <si>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</si>
  <si>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</si>
  <si>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</si>
  <si>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</si>
  <si>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</si>
  <si>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</si>
  <si>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</si>
  <si>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</si>
  <si>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</si>
  <si>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</si>
  <si>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</si>
  <si>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</si>
  <si>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</si>
  <si>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</si>
  <si>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</si>
  <si>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</si>
  <si>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</si>
  <si>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</si>
  <si>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</si>
  <si>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</si>
  <si>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</si>
  <si>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</si>
  <si>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</si>
  <si>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</si>
  <si>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</si>
  <si>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</si>
  <si>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</si>
  <si>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</si>
  <si>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</si>
  <si>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</si>
  <si>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</si>
  <si>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</si>
  <si>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</si>
  <si>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</si>
  <si>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</si>
  <si>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</si>
  <si>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</si>
  <si>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</si>
  <si>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LSN</t>
  </si>
  <si>
    <t>STAPLER HEAVY DUTY KENKO HD-12N/24</t>
  </si>
  <si>
    <t>BINDER CLIP KENKO NO. 260</t>
  </si>
  <si>
    <t>BINDER CLIP KENKO NO. 155</t>
  </si>
  <si>
    <t>4633</t>
  </si>
  <si>
    <t>PENKENKE303HITAM</t>
  </si>
  <si>
    <t>GEL PEN KENKO KE-303 T-GEL TRIANGULAR HITAM</t>
  </si>
  <si>
    <t>4710</t>
  </si>
  <si>
    <t>PENKENEASYGELBIRU</t>
  </si>
  <si>
    <t>GRS</t>
  </si>
  <si>
    <t>PENKEN6191</t>
  </si>
  <si>
    <t>PCS</t>
  </si>
  <si>
    <t>STAKENHL100HIJAU</t>
  </si>
  <si>
    <t>STAKENHL100PINK</t>
  </si>
  <si>
    <t>BOX</t>
  </si>
  <si>
    <t>STIKEN40PUTIH</t>
  </si>
  <si>
    <t>PUSKENPN30WARNA</t>
  </si>
  <si>
    <t>LABJKLB3</t>
  </si>
  <si>
    <t>ISIKEN1210</t>
  </si>
  <si>
    <t>STAKENHD12N24</t>
  </si>
  <si>
    <t>GEL PEN KENKO EASY GEL BIRU</t>
  </si>
  <si>
    <t>PENSIL KENKO 2B-6191 HIJAU CAP HITAM</t>
  </si>
  <si>
    <t>HIGHLIGHTER / STABILO KENKO HL-100 HIJAU</t>
  </si>
  <si>
    <t>HIGHLIGHTER / STABILO KENKO HL-100 PINK</t>
  </si>
  <si>
    <t>STIP / PENGHAPUS KENKO ERW-40SQ PUTIH</t>
  </si>
  <si>
    <t>PUSH PIN KENKO PN-30 WARNA</t>
  </si>
  <si>
    <t>LABEL HARGA JOYKO LB-3 (2 LINE KUNING FLUOR)</t>
  </si>
  <si>
    <t>ISI STAPLER (STAPLES) KENKO 1210 PREMIUM (23/10)</t>
  </si>
  <si>
    <t>4714</t>
  </si>
  <si>
    <t>TRIOPLAZA</t>
  </si>
  <si>
    <t>OPJK12W</t>
  </si>
  <si>
    <t>OPJK36W</t>
  </si>
  <si>
    <t>OPJK48W</t>
  </si>
  <si>
    <t>OPJK55W</t>
  </si>
  <si>
    <t>CRAYON / OIL PASTEL JOYKO OP-12S PP CASE SEA WORLD</t>
  </si>
  <si>
    <t>CRAYON / OIL PASTEL JOYKO OP-36S PP CASE SEA WORLD</t>
  </si>
  <si>
    <t>CRAYON / OIL PASTEL JOYKO OP-48S PP CASE SEA WORLD</t>
  </si>
  <si>
    <t>CRAYON / OIL PASTEL JOYKO OP-55S PP CASE SEA WORLD</t>
  </si>
  <si>
    <t>4713</t>
  </si>
  <si>
    <t>PENVANGP559</t>
  </si>
  <si>
    <t>penvc1609</t>
  </si>
  <si>
    <t>GEL PEN VANCO 0.28 GP-559 HI-TOUCH</t>
  </si>
  <si>
    <t>GEL PEN VANCO VC-1609</t>
  </si>
  <si>
    <t>05-Hitung FP Keluar Mei 2024</t>
  </si>
  <si>
    <t>3119</t>
  </si>
  <si>
    <t>TIPJKCT522</t>
  </si>
  <si>
    <t>STIJK40PUTIH</t>
  </si>
  <si>
    <t>PUNJK30XL</t>
  </si>
  <si>
    <t>CUTJKL500</t>
  </si>
  <si>
    <t>CORRECTION TAPE JOYKO CT-522</t>
  </si>
  <si>
    <t>STIP / PENGHAPUS JOYKO 526-B40P PUTIH</t>
  </si>
  <si>
    <t>PUNCH JOYKO 30XL</t>
  </si>
  <si>
    <t>CUTTER 18 MM JOYKO L-500 + ISI (BESAR)</t>
  </si>
  <si>
    <t>RISMA / CONDRO</t>
  </si>
  <si>
    <t>2993</t>
  </si>
  <si>
    <t>CALJKCC15A</t>
  </si>
  <si>
    <t>CALJKCC12CO</t>
  </si>
  <si>
    <t>CALJKCC8CO</t>
  </si>
  <si>
    <t>CALJKCC41</t>
  </si>
  <si>
    <t>CALCULATOR JOYKO CC-15A</t>
  </si>
  <si>
    <t>CALCULATOR JOYKO CC-12CO WARNA</t>
  </si>
  <si>
    <t>CALCULATOR JOYKO CC-8CO WARNA</t>
  </si>
  <si>
    <t>CALCULATOR JOYKO CC-41</t>
  </si>
  <si>
    <t>LENA / CONDRO</t>
  </si>
  <si>
    <t>CUTKENL500</t>
  </si>
  <si>
    <t>ISIKENBESAR</t>
  </si>
  <si>
    <t>CUTTER 18 MM KENKO L-500 (BESAR)</t>
  </si>
  <si>
    <t>ISI CUTTER 18 MM KENKO L-150 (BESAR)</t>
  </si>
  <si>
    <t>3000</t>
  </si>
  <si>
    <t>TIPKENKE01</t>
  </si>
  <si>
    <t>TIPKENKE108</t>
  </si>
  <si>
    <t>CORRECTION FLUID KENKO KE-01</t>
  </si>
  <si>
    <t>CORRECTION FLUID KENKO KE-108</t>
  </si>
  <si>
    <t>4804</t>
  </si>
  <si>
    <t>PCC27551</t>
  </si>
  <si>
    <t>PCFY6822</t>
  </si>
  <si>
    <t>PCJH220A</t>
  </si>
  <si>
    <t>PCK597</t>
  </si>
  <si>
    <t>PCFC1760</t>
  </si>
  <si>
    <t>PCFC1757</t>
  </si>
  <si>
    <t>PCFC5223</t>
  </si>
  <si>
    <t>PCKEN0719TK01AF</t>
  </si>
  <si>
    <t>PCFY6823</t>
  </si>
  <si>
    <t>PENCIL CASE KENKO PC-0719-TK</t>
  </si>
  <si>
    <t>PENCIL CASE 23 x 8.5 MAGNET FY-6823</t>
  </si>
  <si>
    <t>PENCIL CASE 22 x 7.5 MAGNET C-2755</t>
  </si>
  <si>
    <t>PENCIL CASE 22 x 7.5 MAGNET FY-6822</t>
  </si>
  <si>
    <t>PENCIL CASE 23 x 8.5 MAGNET JH-220A</t>
  </si>
  <si>
    <t xml:space="preserve">PENCIL CASE/ STUDY SET 20.5 x 7 KALENG K-597 MOBIL </t>
  </si>
  <si>
    <t>PENCIL CASE 22 x 7.5 MAGNET FC-1760 (TIMBUL)</t>
  </si>
  <si>
    <t>PENCIL CASE 22 x 7.5 MAGNET FC-1757</t>
  </si>
  <si>
    <t>PENCIL CASE 23 x 8.5 MAGNET 3D FC-5223</t>
  </si>
  <si>
    <t>4862</t>
  </si>
  <si>
    <t>CLIKEN1</t>
  </si>
  <si>
    <t>CLIKEN3</t>
  </si>
  <si>
    <t>PUNKEN85</t>
  </si>
  <si>
    <t>STAKENHD10</t>
  </si>
  <si>
    <t>PAPER TRIGONAL CLIP KENKO NO. 1</t>
  </si>
  <si>
    <t>PAPER TRIGONAL CLIP KENKO NO. 3</t>
  </si>
  <si>
    <t>STAPLER KENKO HD-10</t>
  </si>
  <si>
    <t>PUNCH KENKO NO. 85</t>
  </si>
  <si>
    <t>4738</t>
  </si>
  <si>
    <t>CLIKEN260</t>
  </si>
  <si>
    <t>BENSIA SF-9925 C ISI 42 PC (SENDOK GARPU)</t>
  </si>
  <si>
    <t>4805</t>
  </si>
  <si>
    <t>BENSIA SF-9927 W ISI 42 PC (KIPAS/KINCIR)</t>
  </si>
  <si>
    <t>BENSIA SF-9939 A ISI 32 PC (LOVE DADU)</t>
  </si>
  <si>
    <t>PENSIL ZHONG HUA 6925-2B/B OVAL</t>
  </si>
  <si>
    <t>MAP2544</t>
  </si>
  <si>
    <t>MAPT618</t>
  </si>
  <si>
    <t>TIPKENCT634DT</t>
  </si>
  <si>
    <t>TIPKENCT902CL</t>
  </si>
  <si>
    <t>TIPKENKE107</t>
  </si>
  <si>
    <t>PWJK24WPENDEK</t>
  </si>
  <si>
    <t>PWKEN12WPANJANG</t>
  </si>
  <si>
    <t>PWKEN12WPENDEK</t>
  </si>
  <si>
    <t>PWJKCP107</t>
  </si>
  <si>
    <t>PWKEN12WKALENG</t>
  </si>
  <si>
    <t>PWKEN12WFBC</t>
  </si>
  <si>
    <t>GEL PEN VANCO 0.28MM GP-559 HI-TOUCH</t>
  </si>
  <si>
    <t>MAP TAS/ DOCUMEN BAG B6 2544 JARING + HANDLE</t>
  </si>
  <si>
    <t>MAP TAS/ DOCUMEN BAG B5 T-618 (28 X 21)</t>
  </si>
  <si>
    <t>CORRECTION TAPE KENKO CT-634DT (8M x 5MM)</t>
  </si>
  <si>
    <t>CORRECTION TAPE KENKO CT-902CL (12M x 5MM)</t>
  </si>
  <si>
    <t>CORRECTION FLUID KENKO KE-107M</t>
  </si>
  <si>
    <t>PENSIL WARNA JOYKO CP-S24 MINI (PENDEK)</t>
  </si>
  <si>
    <t>PENSIL WARNA KALENG KENKO CP-12F TIN CASE CLASSIC</t>
  </si>
  <si>
    <t>PENSIL WARNA KENKO CP-12F CLASSIC (PANJANG)</t>
  </si>
  <si>
    <t>PENSIL WARNA KENKO CP-12HALF CLASSIC (PENDEK)</t>
  </si>
  <si>
    <t>PENSIL WARNA KENKO BI-COLOR CP-12FBC (12/24) CLASSIC</t>
  </si>
  <si>
    <t>PENSIL WARNA JOYKO CP-107 (12W)</t>
  </si>
  <si>
    <t>4806</t>
  </si>
  <si>
    <t>PENJKP88</t>
  </si>
  <si>
    <t>PENKEN6363</t>
  </si>
  <si>
    <t>PENKEN0810</t>
  </si>
  <si>
    <t>PENKEN6393</t>
  </si>
  <si>
    <t>PENKEN0192</t>
  </si>
  <si>
    <t>PENKENKE100HITAM</t>
  </si>
  <si>
    <t>PENJKBP349</t>
  </si>
  <si>
    <t>PENJKGP265HITAM</t>
  </si>
  <si>
    <t>PENJKGP330</t>
  </si>
  <si>
    <t>PENKENK1HITAM</t>
  </si>
  <si>
    <t>PENKENK1ECOHITAM</t>
  </si>
  <si>
    <t>ISIJAB550</t>
  </si>
  <si>
    <t>ISIKENA550</t>
  </si>
  <si>
    <t>GUNKENSC838</t>
  </si>
  <si>
    <t>LOOSE LEAF JOYART B5-2670 (50S)</t>
  </si>
  <si>
    <t>LLKENA5100</t>
  </si>
  <si>
    <t>PENSIL JOYKO 2B P-88</t>
  </si>
  <si>
    <t>PENSIL KENKO 2B-6363 HITAM MATTE</t>
  </si>
  <si>
    <t>PENSIL KENKO 2B-0810 FLOURESCENT</t>
  </si>
  <si>
    <t>PENSIL KENKO 2B-6393 FLUORESCENT</t>
  </si>
  <si>
    <t>PENSIL KENKO 2B 0192-PEARL</t>
  </si>
  <si>
    <t>GEL PEN KENKO KE-100 HITAM</t>
  </si>
  <si>
    <t>GEL PEN JOYKO GP-265 Q-GEL HITAM</t>
  </si>
  <si>
    <t>GEL PEN JOYKO GP-330 HITAM</t>
  </si>
  <si>
    <t>GEL PEN KENKO K-1 HITAM</t>
  </si>
  <si>
    <t>GEL PEN KENKO K-1 ECO HITAM</t>
  </si>
  <si>
    <t>LOOSE LEAF KENKO A5-LL 50-2070</t>
  </si>
  <si>
    <t>LOOSE LEAF KENKO A5-LL 100-2070</t>
  </si>
  <si>
    <t>GUNTING KENKO SC-838N</t>
  </si>
  <si>
    <t>4807</t>
  </si>
  <si>
    <t>ROL</t>
  </si>
  <si>
    <t>STIJK20HITAM</t>
  </si>
  <si>
    <t>STIJK40HITAM</t>
  </si>
  <si>
    <t>TIPKENKE826</t>
  </si>
  <si>
    <t>CLIKEN3100</t>
  </si>
  <si>
    <t>OPJK18W</t>
  </si>
  <si>
    <t>PLAKBAND BENING 80 M KENKO 48 MM RED CORE</t>
  </si>
  <si>
    <t>STIP / PENGHAPUS JOYKO ER-B20BL HITAM</t>
  </si>
  <si>
    <t>STIP / PENGHAPUS JOYKO 526-B40BL HITAM</t>
  </si>
  <si>
    <t>CORRECTION FLUID KENKO KE-826M</t>
  </si>
  <si>
    <t>PAPER CLIP WARNA KENKO 3100</t>
  </si>
  <si>
    <t>CRAYON / OIL PASTEL JOYKO OP-18S PP CASE SEA WORLD</t>
  </si>
  <si>
    <t>BALLPEN JOYKO BP-349-12 VOKUS TRANS HITAM</t>
  </si>
  <si>
    <t>4739</t>
  </si>
  <si>
    <t>PENKENEASYGELHITAM</t>
  </si>
  <si>
    <t>TIPKENKE823</t>
  </si>
  <si>
    <t>GEL PEN KENKO EASY GEL 0.3MM HITAM</t>
  </si>
  <si>
    <t>CORRECTION FLUID KENKO KE-823M</t>
  </si>
  <si>
    <t>VALEN / NOVI</t>
  </si>
  <si>
    <t>CLIKEN155</t>
  </si>
  <si>
    <t>OPTITI12W</t>
  </si>
  <si>
    <t>OPTITI18W</t>
  </si>
  <si>
    <t>OPTITI36W</t>
  </si>
  <si>
    <t>OPTITI48W</t>
  </si>
  <si>
    <t>OPTITI55W</t>
  </si>
  <si>
    <t>CRAYON / OIL PASTEL TITI TI-P-18S</t>
  </si>
  <si>
    <t>CRAYON / OIL PASTEL TITI TI-P-36S</t>
  </si>
  <si>
    <t>CRAYON / OIL PASTEL TITI TI-P-48S</t>
  </si>
  <si>
    <t>CRAYON / OIL PASTEL TITI TI-P-55S</t>
  </si>
  <si>
    <t>CRAYON / OIL PASTEL TITI TI-P-12S</t>
  </si>
  <si>
    <t>4809</t>
  </si>
  <si>
    <t>PENTF1190HITAM</t>
  </si>
  <si>
    <t>GEL PEN TRIFELLO HI-TECH TF-1190 HITAM</t>
  </si>
  <si>
    <t>4901</t>
  </si>
  <si>
    <t>CLIKEN105</t>
  </si>
  <si>
    <t>BINDER CLIP KENKO NO. 105</t>
  </si>
  <si>
    <t>4913</t>
  </si>
  <si>
    <t>4914</t>
  </si>
  <si>
    <t>SPIKENPM100HITAM</t>
  </si>
  <si>
    <t>LLKENB5100</t>
  </si>
  <si>
    <t>SAMKWFANCY</t>
  </si>
  <si>
    <t>SAMBOXKWBTK</t>
  </si>
  <si>
    <t>SAMPUL SAMSON KWARTO FANCY</t>
  </si>
  <si>
    <t>SPIDOL PERMANEN KENKO PM-100 HITAM</t>
  </si>
  <si>
    <t>LOOSE LEAF KENKO B5-LL 100-2670</t>
  </si>
  <si>
    <t>SAMPUL SAMSON KWARTO BATIK</t>
  </si>
  <si>
    <t>4949</t>
  </si>
  <si>
    <t>ISOJKTD2S</t>
  </si>
  <si>
    <t>CLIKEN107</t>
  </si>
  <si>
    <t>CLIKEN111</t>
  </si>
  <si>
    <t>TAPE CUTTER 2" JOYKO TD-2S BESI</t>
  </si>
  <si>
    <t>BINDER CLIP KENKO NO. 107</t>
  </si>
  <si>
    <t>BINDER CLIP KENKO NO. 111</t>
  </si>
  <si>
    <t>0</t>
  </si>
  <si>
    <t>4957</t>
  </si>
  <si>
    <t>PWJK12WPANJANG</t>
  </si>
  <si>
    <t>PENSIL WARNA JOYKO CP-12PB (PANJANG)</t>
  </si>
  <si>
    <t>4979</t>
  </si>
  <si>
    <t>4970</t>
  </si>
  <si>
    <t>BNJKM132</t>
  </si>
  <si>
    <t>PENTG340BIRU</t>
  </si>
  <si>
    <t>PENTG340HITAM</t>
  </si>
  <si>
    <t>BNJKM114</t>
  </si>
  <si>
    <t>BNJKM129</t>
  </si>
  <si>
    <t>BNJK142</t>
  </si>
  <si>
    <t>BNJK145</t>
  </si>
  <si>
    <t>BINDER NOTE JOYKO B5-TSFC-M132 (FACULTY) - U</t>
  </si>
  <si>
    <t>BINDER NOTE JOYKO B5-TSIM-M114 (IMAGE) - U</t>
  </si>
  <si>
    <t>BINDER NOTE JOYKO B5-TSAC-M129 (ACADEMY)  - U</t>
  </si>
  <si>
    <t>BINDER NOTE JOYKO B5-TSKD-142 (KINDNESS) - U</t>
  </si>
  <si>
    <t>BINDER NOTE JOYKO B5-TSAT-145 -U</t>
  </si>
  <si>
    <t>GEL PEN TIZO 1.0 MM TG-340BI BIRU</t>
  </si>
  <si>
    <t>GEL PEN TIZO 1.0 MM TG-340 HITAM</t>
  </si>
  <si>
    <t>PENKENHITECH028HITAM</t>
  </si>
  <si>
    <t>GEL PEN KENKO HI-TECH-H 0.28 MM HITAM</t>
  </si>
  <si>
    <t>5000</t>
  </si>
  <si>
    <t>4839</t>
  </si>
  <si>
    <t>DHIAN</t>
  </si>
  <si>
    <t>PENKENK80</t>
  </si>
  <si>
    <t>PWKEN</t>
  </si>
  <si>
    <t>PENKENCP24FBC</t>
  </si>
  <si>
    <t>PENKENNCP12C</t>
  </si>
  <si>
    <t>LEMKENLG35</t>
  </si>
  <si>
    <t>LEM CAIR 35 ML KENKO LG-35</t>
  </si>
  <si>
    <t>BALLPEN KENKO K-80</t>
  </si>
  <si>
    <t xml:space="preserve">PENSIL WARNA KENKO BI-COLOR NMCP-12FBC </t>
  </si>
  <si>
    <t xml:space="preserve">PENSIL WARNA KENKO BI-COLOR CP-24FBC </t>
  </si>
  <si>
    <t>PENSIL WARNA KENKO NCP-12C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</si>
</sst>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dd/mm/yyyy;@"/>
    <numFmt numFmtId="168" formatCode="\ "/>
  </numFmts>
  <fonts count="5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58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10" fontId="3" fillId="0" borderId="0" xfId="0" applyNumberFormat="1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2" fillId="0" borderId="0" xfId="0" applyFont="1"/>
    <xf numFmtId="0" fontId="5" fillId="0" borderId="4" xfId="0" applyFont="1" applyBorder="1" applyAlignment="1">
      <alignment vertical="center"/>
    </xf>
    <xf numFmtId="0" fontId="8" fillId="0" borderId="7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7" xfId="0" applyFont="1" applyBorder="1" applyAlignment="1">
      <alignment vertical="top"/>
    </xf>
    <xf numFmtId="0" fontId="6" fillId="0" borderId="2" xfId="0" applyFont="1" applyBorder="1"/>
    <xf numFmtId="0" fontId="9" fillId="0" borderId="8" xfId="0" applyFont="1" applyBorder="1"/>
    <xf numFmtId="0" fontId="6" fillId="0" borderId="9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0" fillId="0" borderId="10" xfId="0" applyFont="1" applyBorder="1"/>
    <xf numFmtId="10" fontId="4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0" fontId="1" fillId="0" borderId="1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/>
    <xf numFmtId="0" fontId="2" fillId="0" borderId="20" xfId="0" applyFont="1" applyBorder="1"/>
    <xf numFmtId="0" fontId="2" fillId="0" borderId="8" xfId="0" applyFont="1" applyBorder="1" applyAlignment="1">
      <alignment horizontal="center"/>
    </xf>
    <xf numFmtId="0" fontId="12" fillId="0" borderId="0" xfId="0" applyFont="1"/>
    <xf numFmtId="0" fontId="2" fillId="0" borderId="8" xfId="0" applyFont="1" applyBorder="1"/>
    <xf numFmtId="43" fontId="2" fillId="0" borderId="20" xfId="0" applyNumberFormat="1" applyFont="1" applyBorder="1"/>
    <xf numFmtId="10" fontId="4" fillId="0" borderId="20" xfId="0" applyNumberFormat="1" applyFont="1" applyBorder="1" applyAlignment="1">
      <alignment horizontal="center"/>
    </xf>
    <xf numFmtId="43" fontId="2" fillId="0" borderId="7" xfId="0" applyNumberFormat="1" applyFont="1" applyBorder="1"/>
    <xf numFmtId="0" fontId="2" fillId="0" borderId="21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43" fontId="2" fillId="0" borderId="21" xfId="0" applyNumberFormat="1" applyFont="1" applyBorder="1"/>
    <xf numFmtId="10" fontId="4" fillId="0" borderId="21" xfId="0" applyNumberFormat="1" applyFont="1" applyBorder="1" applyAlignment="1">
      <alignment horizontal="center"/>
    </xf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10" fontId="4" fillId="0" borderId="0" xfId="0" applyNumberFormat="1" applyFont="1"/>
    <xf numFmtId="10" fontId="6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14" fillId="0" borderId="1" xfId="0" applyNumberFormat="1" applyFont="1" applyBorder="1"/>
    <xf numFmtId="43" fontId="6" fillId="0" borderId="2" xfId="0" applyNumberFormat="1" applyFont="1" applyBorder="1"/>
    <xf numFmtId="0" fontId="15" fillId="0" borderId="7" xfId="0" applyFont="1" applyBorder="1"/>
    <xf numFmtId="0" fontId="2" fillId="0" borderId="10" xfId="0" applyFont="1" applyBorder="1" applyAlignment="1">
      <alignment horizontal="center"/>
    </xf>
    <xf numFmtId="43" fontId="16" fillId="0" borderId="1" xfId="0" applyNumberFormat="1" applyFont="1" applyBorder="1"/>
    <xf numFmtId="43" fontId="16" fillId="0" borderId="2" xfId="0" applyNumberFormat="1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6" fillId="0" borderId="2" xfId="0" quotePrefix="1" applyFont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right"/>
    </xf>
    <xf numFmtId="0" fontId="24" fillId="2" borderId="0" xfId="0" applyFont="1" applyFill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vertical="top"/>
    </xf>
    <xf numFmtId="168" fontId="24" fillId="2" borderId="2" xfId="0" applyNumberFormat="1" applyFont="1" applyFill="1" applyBorder="1"/>
    <xf numFmtId="0" fontId="34" fillId="2" borderId="8" xfId="0" applyFont="1" applyFill="1" applyBorder="1"/>
    <xf numFmtId="0" fontId="33" fillId="2" borderId="9" xfId="0" applyFont="1" applyFill="1" applyBorder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8" fontId="12" fillId="2" borderId="20" xfId="0" applyNumberFormat="1" applyFont="1" applyFill="1" applyBorder="1"/>
    <xf numFmtId="0" fontId="12" fillId="2" borderId="8" xfId="0" applyFont="1" applyFill="1" applyBorder="1" applyAlignment="1">
      <alignment horizontal="center"/>
    </xf>
    <xf numFmtId="168" fontId="12" fillId="2" borderId="0" xfId="0" applyNumberFormat="1" applyFont="1" applyFill="1"/>
    <xf numFmtId="0" fontId="12" fillId="2" borderId="8" xfId="0" applyFont="1" applyFill="1" applyBorder="1"/>
    <xf numFmtId="43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43" fontId="12" fillId="2" borderId="7" xfId="0" applyNumberFormat="1" applyFont="1" applyFill="1" applyBorder="1"/>
    <xf numFmtId="0" fontId="12" fillId="2" borderId="21" xfId="0" applyFont="1" applyFill="1" applyBorder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/>
    <xf numFmtId="0" fontId="12" fillId="2" borderId="10" xfId="0" applyFont="1" applyFill="1" applyBorder="1"/>
    <xf numFmtId="0" fontId="12" fillId="2" borderId="11" xfId="0" applyFont="1" applyFill="1" applyBorder="1"/>
    <xf numFmtId="43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43" fontId="12" fillId="2" borderId="9" xfId="0" applyNumberFormat="1" applyFont="1" applyFill="1" applyBorder="1"/>
    <xf numFmtId="0" fontId="12" fillId="2" borderId="0" xfId="0" applyFont="1" applyFill="1" applyAlignment="1">
      <alignment horizontal="center"/>
    </xf>
    <xf numFmtId="10" fontId="14" fillId="2" borderId="0" xfId="0" applyNumberFormat="1" applyFont="1" applyFill="1"/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/>
    <xf numFmtId="43" fontId="24" fillId="2" borderId="2" xfId="0" applyNumberFormat="1" applyFont="1" applyFill="1" applyBorder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43" fontId="28" fillId="2" borderId="1" xfId="0" applyNumberFormat="1" applyFont="1" applyFill="1" applyBorder="1"/>
    <xf numFmtId="43" fontId="28" fillId="2" borderId="2" xfId="0" applyNumberFormat="1" applyFont="1" applyFill="1" applyBorder="1"/>
    <xf numFmtId="0" fontId="14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30" fillId="0" borderId="0" xfId="0" applyFont="1"/>
    <xf numFmtId="10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/>
    <xf numFmtId="0" fontId="23" fillId="3" borderId="0" xfId="0" applyFont="1" applyFill="1" applyAlignment="1">
      <alignment horizontal="left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right"/>
    </xf>
    <xf numFmtId="0" fontId="24" fillId="3" borderId="0" xfId="0" applyFont="1" applyFill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vertical="top"/>
    </xf>
    <xf numFmtId="168" fontId="24" fillId="3" borderId="2" xfId="0" applyNumberFormat="1" applyFont="1" applyFill="1" applyBorder="1"/>
    <xf numFmtId="0" fontId="34" fillId="3" borderId="8" xfId="0" applyFont="1" applyFill="1" applyBorder="1"/>
    <xf numFmtId="0" fontId="33" fillId="3" borderId="9" xfId="0" applyFont="1" applyFill="1" applyBorder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8" fontId="12" fillId="3" borderId="20" xfId="0" applyNumberFormat="1" applyFont="1" applyFill="1" applyBorder="1"/>
    <xf numFmtId="0" fontId="12" fillId="3" borderId="8" xfId="0" applyFont="1" applyFill="1" applyBorder="1" applyAlignment="1">
      <alignment horizontal="center"/>
    </xf>
    <xf numFmtId="168" fontId="12" fillId="3" borderId="0" xfId="0" applyNumberFormat="1" applyFont="1" applyFill="1"/>
    <xf numFmtId="0" fontId="12" fillId="3" borderId="8" xfId="0" applyFont="1" applyFill="1" applyBorder="1"/>
    <xf numFmtId="43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43" fontId="12" fillId="3" borderId="7" xfId="0" applyNumberFormat="1" applyFont="1" applyFill="1" applyBorder="1"/>
    <xf numFmtId="0" fontId="12" fillId="3" borderId="21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/>
    <xf numFmtId="43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43" fontId="12" fillId="3" borderId="9" xfId="0" applyNumberFormat="1" applyFont="1" applyFill="1" applyBorder="1"/>
    <xf numFmtId="0" fontId="12" fillId="3" borderId="0" xfId="0" applyFont="1" applyFill="1" applyAlignment="1">
      <alignment horizontal="center"/>
    </xf>
    <xf numFmtId="10" fontId="14" fillId="3" borderId="0" xfId="0" applyNumberFormat="1" applyFont="1" applyFill="1"/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/>
    <xf numFmtId="43" fontId="24" fillId="3" borderId="2" xfId="0" applyNumberFormat="1" applyFont="1" applyFill="1" applyBorder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43" fontId="28" fillId="3" borderId="1" xfId="0" applyNumberFormat="1" applyFont="1" applyFill="1" applyBorder="1"/>
    <xf numFmtId="43" fontId="28" fillId="3" borderId="2" xfId="0" applyNumberFormat="1" applyFont="1" applyFill="1" applyBorder="1"/>
    <xf numFmtId="0" fontId="14" fillId="3" borderId="0" xfId="0" applyFont="1" applyFill="1" applyAlignment="1">
      <alignment horizontal="right"/>
    </xf>
    <xf numFmtId="0" fontId="12" fillId="3" borderId="0" xfId="0" applyFont="1" applyFill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29" fillId="3" borderId="0" xfId="0" applyFont="1" applyFill="1" applyAlignment="1">
      <alignment horizontal="center"/>
    </xf>
    <xf numFmtId="165" fontId="0" fillId="0" borderId="0" xfId="0" applyNumberFormat="1"/>
    <xf numFmtId="0" fontId="20" fillId="0" borderId="0" xfId="0" applyFont="1" applyAlignment="1">
      <alignment horizontal="left" vertical="center"/>
    </xf>
    <xf numFmtId="167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166" fontId="20" fillId="0" borderId="0" xfId="0" applyNumberFormat="1" applyFont="1" applyAlignment="1">
      <alignment horizontal="left" vertical="center"/>
    </xf>
    <xf numFmtId="10" fontId="2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0" fillId="0" borderId="0" xfId="0" applyFont="1"/>
    <xf numFmtId="1" fontId="2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1" fontId="39" fillId="0" borderId="0" xfId="0" applyNumberFormat="1" applyFont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166" fontId="39" fillId="0" borderId="0" xfId="0" applyNumberFormat="1" applyFont="1" applyAlignment="1">
      <alignment horizontal="left" vertical="center"/>
    </xf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66" fontId="0" fillId="0" borderId="0" xfId="0" quotePrefix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2" xfId="0" quotePrefix="1" applyFont="1" applyBorder="1" applyAlignment="1">
      <alignment horizontal="right"/>
    </xf>
    <xf numFmtId="0" fontId="12" fillId="0" borderId="7" xfId="1" applyFont="1" applyBorder="1"/>
    <xf numFmtId="10" fontId="18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/>
    <xf numFmtId="0" fontId="6" fillId="4" borderId="7" xfId="0" applyFont="1" applyFill="1" applyBorder="1" applyAlignment="1">
      <alignment vertical="top"/>
    </xf>
    <xf numFmtId="168" fontId="6" fillId="4" borderId="2" xfId="0" applyNumberFormat="1" applyFont="1" applyFill="1" applyBorder="1"/>
    <xf numFmtId="0" fontId="9" fillId="4" borderId="8" xfId="0" applyFont="1" applyFill="1" applyBorder="1"/>
    <xf numFmtId="0" fontId="6" fillId="4" borderId="9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/>
    <xf numFmtId="10" fontId="4" fillId="4" borderId="0" xfId="0" applyNumberFormat="1" applyFont="1" applyFill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1" fillId="4" borderId="0" xfId="0" applyFont="1" applyFill="1"/>
    <xf numFmtId="41" fontId="2" fillId="4" borderId="20" xfId="0" applyNumberFormat="1" applyFont="1" applyFill="1" applyBorder="1"/>
    <xf numFmtId="168" fontId="2" fillId="4" borderId="20" xfId="0" applyNumberFormat="1" applyFont="1" applyFill="1" applyBorder="1"/>
    <xf numFmtId="168" fontId="2" fillId="4" borderId="8" xfId="0" applyNumberFormat="1" applyFont="1" applyFill="1" applyBorder="1" applyAlignment="1">
      <alignment horizontal="center"/>
    </xf>
    <xf numFmtId="168" fontId="12" fillId="4" borderId="0" xfId="0" applyNumberFormat="1" applyFont="1" applyFill="1"/>
    <xf numFmtId="0" fontId="2" fillId="4" borderId="8" xfId="0" applyFont="1" applyFill="1" applyBorder="1"/>
    <xf numFmtId="43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43" fontId="2" fillId="4" borderId="7" xfId="0" applyNumberFormat="1" applyFont="1" applyFill="1" applyBorder="1"/>
    <xf numFmtId="168" fontId="12" fillId="4" borderId="7" xfId="1" applyNumberFormat="1" applyFont="1" applyFill="1" applyBorder="1"/>
    <xf numFmtId="0" fontId="2" fillId="4" borderId="21" xfId="0" applyFont="1" applyFill="1" applyBorder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43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43" fontId="2" fillId="4" borderId="9" xfId="0" applyNumberFormat="1" applyFont="1" applyFill="1" applyBorder="1"/>
    <xf numFmtId="0" fontId="2" fillId="4" borderId="0" xfId="0" applyFont="1" applyFill="1" applyAlignment="1">
      <alignment horizontal="center"/>
    </xf>
    <xf numFmtId="10" fontId="4" fillId="4" borderId="0" xfId="0" applyNumberFormat="1" applyFont="1" applyFill="1"/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/>
    <xf numFmtId="43" fontId="6" fillId="4" borderId="2" xfId="0" applyNumberFormat="1" applyFont="1" applyFill="1" applyBorder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43" fontId="16" fillId="4" borderId="1" xfId="0" applyNumberFormat="1" applyFont="1" applyFill="1" applyBorder="1"/>
    <xf numFmtId="43" fontId="16" fillId="4" borderId="2" xfId="0" applyNumberFormat="1" applyFont="1" applyFill="1" applyBorder="1"/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18" fillId="4" borderId="0" xfId="0" applyFont="1" applyFill="1" applyAlignment="1">
      <alignment horizontal="right"/>
    </xf>
    <xf numFmtId="0" fontId="19" fillId="4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6" fillId="5" borderId="0" xfId="0" applyFont="1" applyFill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/>
    <xf numFmtId="0" fontId="6" fillId="5" borderId="7" xfId="0" applyFont="1" applyFill="1" applyBorder="1" applyAlignment="1">
      <alignment vertical="top"/>
    </xf>
    <xf numFmtId="168" fontId="6" fillId="5" borderId="2" xfId="0" applyNumberFormat="1" applyFont="1" applyFill="1" applyBorder="1"/>
    <xf numFmtId="0" fontId="9" fillId="5" borderId="8" xfId="0" applyFont="1" applyFill="1" applyBorder="1"/>
    <xf numFmtId="0" fontId="6" fillId="5" borderId="9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/>
    <xf numFmtId="10" fontId="4" fillId="5" borderId="0" xfId="0" applyNumberFormat="1" applyFont="1" applyFill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1" fillId="5" borderId="0" xfId="0" applyFont="1" applyFill="1"/>
    <xf numFmtId="41" fontId="2" fillId="5" borderId="20" xfId="0" applyNumberFormat="1" applyFont="1" applyFill="1" applyBorder="1"/>
    <xf numFmtId="168" fontId="2" fillId="5" borderId="20" xfId="0" applyNumberFormat="1" applyFont="1" applyFill="1" applyBorder="1"/>
    <xf numFmtId="168" fontId="2" fillId="5" borderId="8" xfId="0" applyNumberFormat="1" applyFont="1" applyFill="1" applyBorder="1" applyAlignment="1">
      <alignment horizontal="center"/>
    </xf>
    <xf numFmtId="168" fontId="12" fillId="5" borderId="0" xfId="0" applyNumberFormat="1" applyFont="1" applyFill="1"/>
    <xf numFmtId="0" fontId="2" fillId="5" borderId="8" xfId="0" applyFont="1" applyFill="1" applyBorder="1"/>
    <xf numFmtId="43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43" fontId="2" fillId="5" borderId="7" xfId="0" applyNumberFormat="1" applyFont="1" applyFill="1" applyBorder="1"/>
    <xf numFmtId="168" fontId="12" fillId="5" borderId="7" xfId="1" applyNumberFormat="1" applyFont="1" applyFill="1" applyBorder="1"/>
    <xf numFmtId="0" fontId="2" fillId="5" borderId="21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43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43" fontId="2" fillId="5" borderId="9" xfId="0" applyNumberFormat="1" applyFont="1" applyFill="1" applyBorder="1"/>
    <xf numFmtId="0" fontId="2" fillId="5" borderId="0" xfId="0" applyFont="1" applyFill="1" applyAlignment="1">
      <alignment horizontal="center"/>
    </xf>
    <xf numFmtId="10" fontId="4" fillId="5" borderId="0" xfId="0" applyNumberFormat="1" applyFont="1" applyFill="1"/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/>
    <xf numFmtId="43" fontId="6" fillId="5" borderId="2" xfId="0" applyNumberFormat="1" applyFont="1" applyFill="1" applyBorder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43" fontId="16" fillId="5" borderId="1" xfId="0" applyNumberFormat="1" applyFont="1" applyFill="1" applyBorder="1"/>
    <xf numFmtId="43" fontId="16" fillId="5" borderId="2" xfId="0" applyNumberFormat="1" applyFont="1" applyFill="1" applyBorder="1"/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18" fillId="5" borderId="0" xfId="0" applyFont="1" applyFill="1" applyAlignment="1">
      <alignment horizontal="right"/>
    </xf>
    <xf numFmtId="0" fontId="19" fillId="5" borderId="0" xfId="0" applyFont="1" applyFill="1" applyAlignment="1">
      <alignment horizontal="center"/>
    </xf>
    <xf numFmtId="0" fontId="37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" fontId="43" fillId="0" borderId="0" xfId="0" applyNumberFormat="1" applyFont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166" fontId="43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1" fontId="44" fillId="0" borderId="0" xfId="0" applyNumberFormat="1" applyFont="1" applyAlignment="1">
      <alignment horizontal="left" vertical="center"/>
    </xf>
    <xf numFmtId="49" fontId="44" fillId="0" borderId="0" xfId="0" applyNumberFormat="1" applyFont="1" applyAlignment="1">
      <alignment horizontal="left" vertical="center"/>
    </xf>
    <xf numFmtId="166" fontId="44" fillId="0" borderId="0" xfId="0" applyNumberFormat="1" applyFont="1" applyAlignment="1">
      <alignment horizontal="left" vertical="center"/>
    </xf>
    <xf numFmtId="0" fontId="37" fillId="0" borderId="0" xfId="0" applyFont="1" applyAlignment="1">
      <alignment vertical="center"/>
    </xf>
    <xf numFmtId="164" fontId="0" fillId="0" borderId="0" xfId="0" applyNumberFormat="1"/>
    <xf numFmtId="0" fontId="12" fillId="3" borderId="20" xfId="0" applyFont="1" applyFill="1" applyBorder="1"/>
    <xf numFmtId="0" fontId="12" fillId="2" borderId="20" xfId="0" applyFont="1" applyFill="1" applyBorder="1"/>
    <xf numFmtId="0" fontId="45" fillId="0" borderId="0" xfId="0" applyFont="1" applyAlignment="1">
      <alignment horizontal="left" vertical="center"/>
    </xf>
    <xf numFmtId="1" fontId="45" fillId="0" borderId="0" xfId="0" applyNumberFormat="1" applyFont="1" applyAlignment="1">
      <alignment horizontal="left" vertical="center"/>
    </xf>
    <xf numFmtId="49" fontId="45" fillId="0" borderId="0" xfId="0" applyNumberFormat="1" applyFont="1" applyAlignment="1">
      <alignment horizontal="left" vertical="center"/>
    </xf>
    <xf numFmtId="166" fontId="45" fillId="0" borderId="0" xfId="0" applyNumberFormat="1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" fontId="46" fillId="0" borderId="0" xfId="0" applyNumberFormat="1" applyFont="1" applyAlignment="1">
      <alignment horizontal="left" vertical="center"/>
    </xf>
    <xf numFmtId="49" fontId="46" fillId="0" borderId="0" xfId="0" applyNumberFormat="1" applyFont="1" applyAlignment="1">
      <alignment horizontal="left" vertical="center"/>
    </xf>
    <xf numFmtId="166" fontId="4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7" fillId="0" borderId="0" xfId="0" applyFont="1" applyAlignment="1">
      <alignment horizontal="left" vertical="center"/>
    </xf>
    <xf numFmtId="1" fontId="47" fillId="0" borderId="0" xfId="0" applyNumberFormat="1" applyFont="1" applyAlignment="1">
      <alignment horizontal="left" vertical="center"/>
    </xf>
    <xf numFmtId="49" fontId="47" fillId="0" borderId="0" xfId="0" applyNumberFormat="1" applyFont="1" applyAlignment="1">
      <alignment horizontal="left" vertical="center"/>
    </xf>
    <xf numFmtId="166" fontId="47" fillId="0" borderId="0" xfId="0" applyNumberFormat="1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1" fontId="48" fillId="0" borderId="0" xfId="0" applyNumberFormat="1" applyFont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166" fontId="48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1" fontId="49" fillId="0" borderId="0" xfId="0" applyNumberFormat="1" applyFont="1" applyAlignment="1">
      <alignment horizontal="left" vertical="center"/>
    </xf>
    <xf numFmtId="49" fontId="49" fillId="0" borderId="0" xfId="0" applyNumberFormat="1" applyFont="1" applyAlignment="1">
      <alignment horizontal="left" vertical="center"/>
    </xf>
    <xf numFmtId="166" fontId="4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1" fontId="50" fillId="0" borderId="0" xfId="0" applyNumberFormat="1" applyFont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166" fontId="50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43" fontId="6" fillId="0" borderId="1" xfId="0" applyNumberFormat="1" applyFont="1" applyBorder="1" applyAlignment="1">
      <alignment horizontal="right"/>
    </xf>
    <xf numFmtId="43" fontId="6" fillId="0" borderId="3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horizontal="left"/>
    </xf>
    <xf numFmtId="167" fontId="6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8" fontId="25" fillId="3" borderId="5" xfId="0" applyNumberFormat="1" applyFont="1" applyFill="1" applyBorder="1" applyAlignment="1">
      <alignment horizontal="center" vertical="center"/>
    </xf>
    <xf numFmtId="168" fontId="25" fillId="3" borderId="6" xfId="0" applyNumberFormat="1" applyFont="1" applyFill="1" applyBorder="1" applyAlignment="1">
      <alignment horizontal="center" vertical="center"/>
    </xf>
    <xf numFmtId="168" fontId="25" fillId="3" borderId="0" xfId="0" applyNumberFormat="1" applyFont="1" applyFill="1" applyAlignment="1">
      <alignment horizontal="center" vertical="center"/>
    </xf>
    <xf numFmtId="168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7" fontId="24" fillId="3" borderId="2" xfId="0" applyNumberFormat="1" applyFont="1" applyFill="1" applyBorder="1" applyAlignment="1">
      <alignment horizontal="left"/>
    </xf>
    <xf numFmtId="167" fontId="24" fillId="3" borderId="3" xfId="0" applyNumberFormat="1" applyFont="1" applyFill="1" applyBorder="1" applyAlignment="1">
      <alignment horizontal="left"/>
    </xf>
    <xf numFmtId="168" fontId="12" fillId="3" borderId="0" xfId="0" applyNumberFormat="1" applyFont="1" applyFill="1" applyAlignment="1">
      <alignment horizontal="center" vertical="center"/>
    </xf>
    <xf numFmtId="168" fontId="12" fillId="3" borderId="8" xfId="0" applyNumberFormat="1" applyFont="1" applyFill="1" applyBorder="1" applyAlignment="1">
      <alignment horizontal="center" vertical="center"/>
    </xf>
    <xf numFmtId="168" fontId="24" fillId="3" borderId="0" xfId="0" applyNumberFormat="1" applyFont="1" applyFill="1" applyAlignment="1">
      <alignment horizontal="center" vertical="center"/>
    </xf>
    <xf numFmtId="168" fontId="24" fillId="3" borderId="8" xfId="0" applyNumberFormat="1" applyFont="1" applyFill="1" applyBorder="1" applyAlignment="1">
      <alignment horizontal="center" vertical="center"/>
    </xf>
    <xf numFmtId="168" fontId="24" fillId="3" borderId="10" xfId="0" applyNumberFormat="1" applyFont="1" applyFill="1" applyBorder="1" applyAlignment="1">
      <alignment horizontal="center" vertical="center"/>
    </xf>
    <xf numFmtId="168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43" fontId="24" fillId="3" borderId="1" xfId="0" applyNumberFormat="1" applyFont="1" applyFill="1" applyBorder="1" applyAlignment="1">
      <alignment horizontal="right"/>
    </xf>
    <xf numFmtId="43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8" fontId="35" fillId="3" borderId="22" xfId="0" applyNumberFormat="1" applyFont="1" applyFill="1" applyBorder="1" applyAlignment="1">
      <alignment horizontal="center"/>
    </xf>
    <xf numFmtId="168" fontId="35" fillId="3" borderId="23" xfId="0" applyNumberFormat="1" applyFont="1" applyFill="1" applyBorder="1" applyAlignment="1">
      <alignment horizontal="center"/>
    </xf>
    <xf numFmtId="168" fontId="25" fillId="2" borderId="5" xfId="0" applyNumberFormat="1" applyFont="1" applyFill="1" applyBorder="1" applyAlignment="1">
      <alignment horizontal="center" vertical="center"/>
    </xf>
    <xf numFmtId="168" fontId="25" fillId="2" borderId="6" xfId="0" applyNumberFormat="1" applyFont="1" applyFill="1" applyBorder="1" applyAlignment="1">
      <alignment horizontal="center" vertical="center"/>
    </xf>
    <xf numFmtId="168" fontId="25" fillId="2" borderId="0" xfId="0" applyNumberFormat="1" applyFont="1" applyFill="1" applyAlignment="1">
      <alignment horizontal="center" vertical="center"/>
    </xf>
    <xf numFmtId="168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7" fontId="24" fillId="2" borderId="2" xfId="0" applyNumberFormat="1" applyFont="1" applyFill="1" applyBorder="1" applyAlignment="1">
      <alignment horizontal="left"/>
    </xf>
    <xf numFmtId="167" fontId="24" fillId="2" borderId="3" xfId="0" applyNumberFormat="1" applyFont="1" applyFill="1" applyBorder="1" applyAlignment="1">
      <alignment horizontal="left"/>
    </xf>
    <xf numFmtId="168" fontId="12" fillId="2" borderId="0" xfId="0" applyNumberFormat="1" applyFont="1" applyFill="1" applyAlignment="1">
      <alignment horizontal="center" vertical="center"/>
    </xf>
    <xf numFmtId="168" fontId="12" fillId="2" borderId="8" xfId="0" applyNumberFormat="1" applyFont="1" applyFill="1" applyBorder="1" applyAlignment="1">
      <alignment horizontal="center" vertical="center"/>
    </xf>
    <xf numFmtId="168" fontId="24" fillId="2" borderId="0" xfId="0" applyNumberFormat="1" applyFont="1" applyFill="1" applyAlignment="1">
      <alignment horizontal="center" vertical="center"/>
    </xf>
    <xf numFmtId="168" fontId="24" fillId="2" borderId="8" xfId="0" applyNumberFormat="1" applyFont="1" applyFill="1" applyBorder="1" applyAlignment="1">
      <alignment horizontal="center" vertical="center"/>
    </xf>
    <xf numFmtId="168" fontId="24" fillId="2" borderId="10" xfId="0" applyNumberFormat="1" applyFont="1" applyFill="1" applyBorder="1" applyAlignment="1">
      <alignment horizontal="center" vertical="center"/>
    </xf>
    <xf numFmtId="168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43" fontId="24" fillId="2" borderId="1" xfId="0" applyNumberFormat="1" applyFont="1" applyFill="1" applyBorder="1" applyAlignment="1">
      <alignment horizontal="right"/>
    </xf>
    <xf numFmtId="43" fontId="24" fillId="2" borderId="3" xfId="0" applyNumberFormat="1" applyFont="1" applyFill="1" applyBorder="1" applyAlignment="1">
      <alignment horizontal="right"/>
    </xf>
    <xf numFmtId="168" fontId="35" fillId="2" borderId="22" xfId="0" applyNumberFormat="1" applyFont="1" applyFill="1" applyBorder="1" applyAlignment="1">
      <alignment horizontal="center"/>
    </xf>
    <xf numFmtId="168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6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  <xf numFmtId="43" fontId="15" fillId="0" borderId="1" xfId="0" applyNumberFormat="1" applyFont="1" applyBorder="1" applyAlignment="1">
      <alignment horizontal="right"/>
    </xf>
    <xf numFmtId="43" fontId="15" fillId="0" borderId="2" xfId="0" applyNumberFormat="1" applyFont="1" applyBorder="1" applyAlignment="1">
      <alignment horizontal="right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168" fontId="42" fillId="3" borderId="5" xfId="0" applyNumberFormat="1" applyFont="1" applyFill="1" applyBorder="1" applyAlignment="1">
      <alignment horizontal="center" vertical="center"/>
    </xf>
    <xf numFmtId="168" fontId="42" fillId="3" borderId="6" xfId="0" applyNumberFormat="1" applyFont="1" applyFill="1" applyBorder="1" applyAlignment="1">
      <alignment horizontal="center" vertical="center"/>
    </xf>
    <xf numFmtId="168" fontId="42" fillId="3" borderId="0" xfId="0" applyNumberFormat="1" applyFont="1" applyFill="1" applyAlignment="1">
      <alignment horizontal="center" vertical="center"/>
    </xf>
    <xf numFmtId="168" fontId="42" fillId="3" borderId="8" xfId="0" applyNumberFormat="1" applyFont="1" applyFill="1" applyBorder="1" applyAlignment="1">
      <alignment horizontal="center" vertical="center"/>
    </xf>
    <xf numFmtId="168" fontId="42" fillId="2" borderId="5" xfId="0" applyNumberFormat="1" applyFont="1" applyFill="1" applyBorder="1" applyAlignment="1">
      <alignment horizontal="center" vertical="center"/>
    </xf>
    <xf numFmtId="168" fontId="42" fillId="2" borderId="6" xfId="0" applyNumberFormat="1" applyFont="1" applyFill="1" applyBorder="1" applyAlignment="1">
      <alignment horizontal="center" vertical="center"/>
    </xf>
    <xf numFmtId="168" fontId="42" fillId="2" borderId="0" xfId="0" applyNumberFormat="1" applyFont="1" applyFill="1" applyAlignment="1">
      <alignment horizontal="center" vertical="center"/>
    </xf>
    <xf numFmtId="168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68" fontId="7" fillId="4" borderId="5" xfId="0" applyNumberFormat="1" applyFont="1" applyFill="1" applyBorder="1" applyAlignment="1">
      <alignment horizontal="center" vertical="center"/>
    </xf>
    <xf numFmtId="168" fontId="7" fillId="4" borderId="6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168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7" fontId="6" fillId="4" borderId="2" xfId="0" applyNumberFormat="1" applyFont="1" applyFill="1" applyBorder="1" applyAlignment="1">
      <alignment horizontal="left"/>
    </xf>
    <xf numFmtId="167" fontId="6" fillId="4" borderId="3" xfId="0" applyNumberFormat="1" applyFont="1" applyFill="1" applyBorder="1" applyAlignment="1">
      <alignment horizontal="left"/>
    </xf>
    <xf numFmtId="168" fontId="2" fillId="4" borderId="0" xfId="0" applyNumberFormat="1" applyFont="1" applyFill="1" applyAlignment="1">
      <alignment horizontal="center" vertical="center"/>
    </xf>
    <xf numFmtId="168" fontId="2" fillId="4" borderId="8" xfId="0" applyNumberFormat="1" applyFont="1" applyFill="1" applyBorder="1" applyAlignment="1">
      <alignment horizontal="center" vertical="center"/>
    </xf>
    <xf numFmtId="168" fontId="6" fillId="4" borderId="0" xfId="0" applyNumberFormat="1" applyFont="1" applyFill="1" applyAlignment="1">
      <alignment horizontal="center" vertical="center"/>
    </xf>
    <xf numFmtId="168" fontId="6" fillId="4" borderId="8" xfId="0" applyNumberFormat="1" applyFont="1" applyFill="1" applyBorder="1" applyAlignment="1">
      <alignment horizontal="center" vertical="center"/>
    </xf>
    <xf numFmtId="168" fontId="6" fillId="4" borderId="10" xfId="0" applyNumberFormat="1" applyFont="1" applyFill="1" applyBorder="1" applyAlignment="1">
      <alignment horizontal="center" vertical="center"/>
    </xf>
    <xf numFmtId="168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43" fontId="6" fillId="4" borderId="1" xfId="0" applyNumberFormat="1" applyFont="1" applyFill="1" applyBorder="1" applyAlignment="1">
      <alignment horizontal="right"/>
    </xf>
    <xf numFmtId="43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center"/>
    </xf>
    <xf numFmtId="43" fontId="15" fillId="4" borderId="1" xfId="0" applyNumberFormat="1" applyFont="1" applyFill="1" applyBorder="1" applyAlignment="1">
      <alignment horizontal="right"/>
    </xf>
    <xf numFmtId="43" fontId="15" fillId="4" borderId="2" xfId="0" applyNumberFormat="1" applyFont="1" applyFill="1" applyBorder="1" applyAlignment="1">
      <alignment horizontal="right"/>
    </xf>
    <xf numFmtId="168" fontId="19" fillId="4" borderId="22" xfId="0" applyNumberFormat="1" applyFont="1" applyFill="1" applyBorder="1" applyAlignment="1">
      <alignment horizontal="center"/>
    </xf>
    <xf numFmtId="168" fontId="19" fillId="4" borderId="23" xfId="0" applyNumberFormat="1" applyFont="1" applyFill="1" applyBorder="1" applyAlignment="1">
      <alignment horizontal="center"/>
    </xf>
    <xf numFmtId="168" fontId="7" fillId="5" borderId="5" xfId="0" applyNumberFormat="1" applyFont="1" applyFill="1" applyBorder="1" applyAlignment="1">
      <alignment horizontal="center" vertical="center"/>
    </xf>
    <xf numFmtId="168" fontId="7" fillId="5" borderId="6" xfId="0" applyNumberFormat="1" applyFont="1" applyFill="1" applyBorder="1" applyAlignment="1">
      <alignment horizontal="center" vertical="center"/>
    </xf>
    <xf numFmtId="168" fontId="7" fillId="5" borderId="0" xfId="0" applyNumberFormat="1" applyFont="1" applyFill="1" applyAlignment="1">
      <alignment horizontal="center" vertical="center"/>
    </xf>
    <xf numFmtId="168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7" fontId="6" fillId="5" borderId="2" xfId="0" applyNumberFormat="1" applyFont="1" applyFill="1" applyBorder="1" applyAlignment="1">
      <alignment horizontal="left"/>
    </xf>
    <xf numFmtId="167" fontId="6" fillId="5" borderId="3" xfId="0" applyNumberFormat="1" applyFont="1" applyFill="1" applyBorder="1" applyAlignment="1">
      <alignment horizontal="left"/>
    </xf>
    <xf numFmtId="168" fontId="2" fillId="5" borderId="0" xfId="0" applyNumberFormat="1" applyFont="1" applyFill="1" applyAlignment="1">
      <alignment horizontal="center" vertical="center"/>
    </xf>
    <xf numFmtId="168" fontId="2" fillId="5" borderId="8" xfId="0" applyNumberFormat="1" applyFont="1" applyFill="1" applyBorder="1" applyAlignment="1">
      <alignment horizontal="center" vertical="center"/>
    </xf>
    <xf numFmtId="168" fontId="6" fillId="5" borderId="0" xfId="0" applyNumberFormat="1" applyFont="1" applyFill="1" applyAlignment="1">
      <alignment horizontal="center" vertical="center"/>
    </xf>
    <xf numFmtId="168" fontId="6" fillId="5" borderId="8" xfId="0" applyNumberFormat="1" applyFont="1" applyFill="1" applyBorder="1" applyAlignment="1">
      <alignment horizontal="center" vertical="center"/>
    </xf>
    <xf numFmtId="168" fontId="6" fillId="5" borderId="10" xfId="0" applyNumberFormat="1" applyFont="1" applyFill="1" applyBorder="1" applyAlignment="1">
      <alignment horizontal="center" vertical="center"/>
    </xf>
    <xf numFmtId="168" fontId="6" fillId="5" borderId="11" xfId="0" applyNumberFormat="1" applyFont="1" applyFill="1" applyBorder="1" applyAlignment="1">
      <alignment horizontal="center" vertical="center"/>
    </xf>
    <xf numFmtId="168" fontId="19" fillId="5" borderId="22" xfId="0" applyNumberFormat="1" applyFont="1" applyFill="1" applyBorder="1" applyAlignment="1">
      <alignment horizontal="center"/>
    </xf>
    <xf numFmtId="168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3" fontId="6" fillId="5" borderId="1" xfId="0" applyNumberFormat="1" applyFont="1" applyFill="1" applyBorder="1" applyAlignment="1">
      <alignment horizontal="right"/>
    </xf>
    <xf numFmtId="43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Alignment="1">
      <alignment horizontal="center"/>
    </xf>
    <xf numFmtId="43" fontId="15" fillId="5" borderId="1" xfId="0" applyNumberFormat="1" applyFont="1" applyFill="1" applyBorder="1" applyAlignment="1">
      <alignment horizontal="right"/>
    </xf>
    <xf numFmtId="43" fontId="15" fillId="5" borderId="2" xfId="0" applyNumberFormat="1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20" fillId="0" borderId="0" xfId="0" applyNumberFormat="1" applyFont="1" applyFill="1" applyAlignment="1">
      <alignment horizontal="left" vertical="center"/>
    </xf>
    <xf numFmtId="0" fontId="50" fillId="0" borderId="0" xfId="0" applyNumberFormat="1" applyFont="1" applyFill="1" applyAlignment="1">
      <alignment horizontal="left" vertical="center"/>
    </xf>
    <xf numFmtId="167" fontId="20" fillId="0" borderId="0" xfId="0" applyNumberFormat="1" applyFont="1" applyFill="1" applyAlignment="1">
      <alignment horizontal="left" vertical="center"/>
    </xf>
    <xf numFmtId="1" fontId="50" fillId="0" borderId="0" xfId="0" applyNumberFormat="1" applyFont="1" applyFill="1" applyAlignment="1">
      <alignment horizontal="left" vertical="center"/>
    </xf>
    <xf numFmtId="49" fontId="50" fillId="0" borderId="0" xfId="0" applyNumberFormat="1" applyFont="1" applyFill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166" fontId="20" fillId="0" borderId="0" xfId="0" applyNumberFormat="1" applyFont="1" applyFill="1" applyAlignment="1">
      <alignment horizontal="left" vertical="center"/>
    </xf>
    <xf numFmtId="10" fontId="20" fillId="0" borderId="0" xfId="0" applyNumberFormat="1" applyFont="1" applyFill="1" applyAlignment="1">
      <alignment horizontal="left" vertical="center"/>
    </xf>
    <xf numFmtId="166" fontId="50" fillId="0" borderId="0" xfId="0" applyNumberFormat="1" applyFont="1" applyFill="1" applyAlignment="1">
      <alignment horizontal="left" vertical="center"/>
    </xf>
    <xf numFmtId="167" fontId="12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1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dd/mm/yy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7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Light16">
    <tableStyle name="Table Style 1" pivot="0" count="1" xr9:uid="{00000000-0011-0000-FFFF-FFFF00000000}">
      <tableStyleElement type="totalRow" dxfId="172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3"/>
      <sheetName val="Stock Untanna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41.65880138889" createdVersion="5" refreshedVersion="8" minRefreshableVersion="3" recordCount="585" xr:uid="{00000000-000A-0000-FFFF-FFFF08000000}">
  <cacheSource type="worksheet">
    <worksheetSource name="Table1"/>
  </cacheSource>
  <cacheFields count="32">
    <cacheField name="//" numFmtId="0">
      <sharedItems containsMixedTypes="1" containsNumber="1" containsInteger="1" minValue="3" maxValue="178" count="103">
        <s v=""/>
        <n v="4"/>
        <n v="6"/>
        <n v="17"/>
        <n v="20"/>
        <n v="25"/>
        <n v="30"/>
        <n v="37"/>
        <n v="40"/>
        <n v="50"/>
        <n v="55"/>
        <n v="63"/>
        <n v="80"/>
        <n v="96"/>
        <n v="106"/>
        <n v="109"/>
        <n v="111"/>
        <n v="113"/>
        <n v="115"/>
        <n v="124"/>
        <n v="126"/>
        <n v="128"/>
        <n v="130"/>
        <n v="133"/>
        <n v="139"/>
        <n v="141"/>
        <n v="142"/>
        <n v="143"/>
        <n v="144"/>
        <n v="150"/>
        <n v="152"/>
        <n v="161"/>
        <n v="164"/>
        <n v="165"/>
        <n v="166"/>
        <n v="168"/>
        <n v="170"/>
        <n v="172"/>
        <n v="177"/>
        <n v="3" u="1"/>
        <n v="5" u="1"/>
        <n v="7" u="1"/>
        <n v="18" u="1"/>
        <n v="21" u="1"/>
        <n v="26" u="1"/>
        <n v="31" u="1"/>
        <n v="38" u="1"/>
        <n v="41" u="1"/>
        <n v="51" u="1"/>
        <n v="56" u="1"/>
        <n v="64" u="1"/>
        <n v="81" u="1"/>
        <n v="97" u="1"/>
        <n v="107" u="1"/>
        <n v="110" u="1"/>
        <n v="112" u="1"/>
        <n v="114" u="1"/>
        <n v="116" u="1"/>
        <n v="125" u="1"/>
        <n v="127" u="1"/>
        <n v="129" u="1"/>
        <n v="131" u="1"/>
        <n v="134" u="1"/>
        <n v="140" u="1"/>
        <n v="145" u="1"/>
        <n v="151" u="1"/>
        <n v="153" u="1"/>
        <n v="162" u="1"/>
        <n v="167" u="1"/>
        <n v="169" u="1"/>
        <n v="171" u="1"/>
        <n v="173" u="1"/>
        <n v="178" u="1"/>
        <n v="121" u="1"/>
        <n v="123" u="1"/>
        <n v="136" u="1"/>
        <n v="138" u="1"/>
        <n v="147" u="1"/>
        <n v="149" u="1"/>
        <n v="158" u="1"/>
        <n v="163" u="1"/>
        <n v="174" u="1"/>
        <n v="16" u="1"/>
        <n v="19" u="1"/>
        <n v="24" u="1"/>
        <n v="29" u="1"/>
        <n v="36" u="1"/>
        <n v="39" u="1"/>
        <n v="49" u="1"/>
        <n v="54" u="1"/>
        <n v="62" u="1"/>
        <n v="79" u="1"/>
        <n v="95" u="1"/>
        <n v="105" u="1"/>
        <n v="108" u="1"/>
        <n v="119" u="1"/>
        <n v="137" u="1"/>
        <n v="156" u="1"/>
        <n v="159" u="1"/>
        <n v="160" u="1"/>
        <n v="99" u="1"/>
        <n v="73" u="1"/>
        <n v="89" u="1"/>
      </sharedItems>
    </cacheField>
    <cacheField name="h_No. Invoice :" numFmtId="0">
      <sharedItems containsMixedTypes="1" containsNumber="1" containsInteger="1" minValue="24050001" maxValue="24050038"/>
    </cacheField>
    <cacheField name="Tgl Invoice :" numFmtId="167">
      <sharedItems containsDate="1" containsMixedTypes="1" minDate="2024-04-30T00:00:00" maxDate="2024-05-30T00:00:00"/>
    </cacheField>
    <cacheField name="Column2" numFmtId="0">
      <sharedItems containsString="0" containsBlank="1" containsNumber="1" containsInteger="1" minValue="0" maxValue="29"/>
    </cacheField>
    <cacheField name="Column4" numFmtId="49">
      <sharedItems containsBlank="1"/>
    </cacheField>
    <cacheField name="Column5" numFmtId="0">
      <sharedItems containsBlank="1" containsMixedTypes="1" containsNumber="1" containsInteger="1" minValue="0" maxValue="0"/>
    </cacheField>
    <cacheField name="No. Invoice :" numFmtId="0">
      <sharedItems/>
    </cacheField>
    <cacheField name="Column3" numFmtId="0">
      <sharedItems containsMixedTypes="1" containsNumber="1" containsInteger="1" minValue="0" maxValue="0"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166">
      <sharedItems containsString="0" containsBlank="1" containsNumber="1" containsInteger="1" minValue="2000" maxValue="204000"/>
    </cacheField>
    <cacheField name="Column14" numFmtId="10">
      <sharedItems containsString="0" containsBlank="1" containsNumber="1" minValue="0.1" maxValue="0.14000000000000001"/>
    </cacheField>
    <cacheField name="Column15" numFmtId="10">
      <sharedItems containsNonDate="0" containsString="0" containsBlank="1"/>
    </cacheField>
    <cacheField name="Amount" numFmtId="166">
      <sharedItems containsMixedTypes="1" containsNumber="1" containsInteger="1" minValue="37260" maxValue="17010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77"/>
    </cacheField>
    <cacheField name="h_jumlahbarang" numFmtId="0">
      <sharedItems containsMixedTypes="1" containsNumber="1" containsInteger="1" minValue="1" maxValue="16"/>
    </cacheField>
    <cacheField name="h_hargasebelumdiskon" numFmtId="166">
      <sharedItems containsMixedTypes="1" containsNumber="1" containsInteger="1" minValue="41400" maxValue="19440000"/>
    </cacheField>
    <cacheField name="h_disc 1" numFmtId="166">
      <sharedItems containsMixedTypes="1" containsNumber="1" minValue="0" maxValue="2624400"/>
    </cacheField>
    <cacheField name="h_disc 2" numFmtId="166">
      <sharedItems containsMixedTypes="1" containsNumber="1" containsInteger="1" minValue="0" maxValue="0"/>
    </cacheField>
    <cacheField name="h_diskon" numFmtId="166">
      <sharedItems containsMixedTypes="1" containsNumber="1" minValue="0" maxValue="2624400"/>
    </cacheField>
    <cacheField name="h_hargasetelahdiskon" numFmtId="166">
      <sharedItems containsMixedTypes="1" containsNumber="1" containsInteger="1" minValue="37260" maxValue="17010000"/>
    </cacheField>
    <cacheField name="Total Invoice" numFmtId="166">
      <sharedItems containsMixedTypes="1" containsNumber="1" containsInteger="1" minValue="0" maxValue="46655000"/>
    </cacheField>
    <cacheField name="KETERANGAN" numFmtId="166">
      <sharedItems containsNonDate="0" containsString="0" containsBlank="1"/>
    </cacheField>
    <cacheField name="H_A1" numFmtId="166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5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50001"/>
    <d v="2024-05-04T00:00:00"/>
    <n v="4"/>
    <s v="4633"/>
    <s v="UTAMA"/>
    <s v="AM 24050001"/>
    <s v="G"/>
    <s v="G 4633"/>
    <s v="CV UTAMA PUTRA TULUNG AGUNG"/>
    <n v="144"/>
    <s v="LSN"/>
    <n v="1"/>
    <s v="PENKENKE303HITAM"/>
    <s v="GEL PEN KENKO KE-303 T-GEL TRIANGULAR HITAM"/>
    <s v="GEL PEN KENKO KE-303 T-GEL TRIANGULAR HITAM"/>
    <n v="21600"/>
    <n v="0.125"/>
    <m/>
    <n v="2721600"/>
    <s v="NOVI / CONDRO"/>
    <m/>
    <n v="4"/>
    <n v="1"/>
    <n v="3110400"/>
    <n v="388800"/>
    <n v="0"/>
    <n v="388800"/>
    <n v="2721600"/>
    <n v="2721600"/>
    <m/>
    <s v="GEL PEN KENKO KE-303 T-GEL TRIANGULAR HITAMLSN2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50002"/>
    <d v="2024-05-04T00:00:00"/>
    <n v="4"/>
    <s v="4710"/>
    <s v="ANUGERAH"/>
    <s v="AM 24050002"/>
    <s v="KO"/>
    <s v="KO 4710"/>
    <s v="CV PELITA JAYA (ANUGERAH SEJAHTERA) PURWOKERTO"/>
    <n v="144"/>
    <s v="LSN"/>
    <n v="1"/>
    <s v="PENKENEASYGELBIRU"/>
    <s v="GEL PEN KENKO EASY GEL BIRU"/>
    <s v="GEL PEN KENKO EASY GEL BIRU"/>
    <n v="26100"/>
    <n v="0.13500000000000001"/>
    <m/>
    <n v="3251016"/>
    <s v="NOVI / CONDRO"/>
    <m/>
    <n v="6"/>
    <n v="10"/>
    <n v="3758400"/>
    <n v="507384.00000000006"/>
    <n v="0"/>
    <n v="507384.00000000006"/>
    <n v="3251016"/>
    <n v="26531799"/>
    <m/>
    <s v="GEL PEN KENKO EASY GEL BIRULSN26100"/>
  </r>
  <r>
    <x v="0"/>
    <s v=""/>
    <s v=""/>
    <m/>
    <m/>
    <m/>
    <s v=""/>
    <s v=""/>
    <s v=" "/>
    <s v=""/>
    <n v="40"/>
    <s v="GRS"/>
    <n v="2"/>
    <s v="PENKEN6191"/>
    <s v="PENSIL KENKO 2B-6191 HIJAU CAP HITAM"/>
    <s v="PENSIL KENKO 2B-6191 HIJAU CAP HITAM"/>
    <n v="110400"/>
    <n v="0.13500000000000001"/>
    <m/>
    <n v="3819840"/>
    <m/>
    <m/>
    <n v="6"/>
    <n v="10"/>
    <n v="4416000"/>
    <n v="596160"/>
    <n v="0"/>
    <n v="596160"/>
    <n v="3819840"/>
    <s v=""/>
    <m/>
    <s v="PENSIL KENKO 2B-6191 HIJAU CAP HITAMGRS110400"/>
  </r>
  <r>
    <x v="0"/>
    <s v=""/>
    <s v=""/>
    <m/>
    <m/>
    <m/>
    <s v=""/>
    <s v=""/>
    <s v=" "/>
    <s v=""/>
    <n v="480"/>
    <s v="PCS"/>
    <n v="1"/>
    <s v="STAKENHL100HIJAU"/>
    <s v="HIGHLIGHTER / STABILO KENKO HL-100 HIJAU"/>
    <s v="HIGHLIGHTER / STABILO KENKO HL-100 HIJAU"/>
    <n v="3050"/>
    <n v="0.13500000000000001"/>
    <m/>
    <n v="1266360"/>
    <m/>
    <m/>
    <n v="6"/>
    <n v="10"/>
    <n v="1464000"/>
    <n v="197640"/>
    <n v="0"/>
    <n v="197640"/>
    <n v="1266360"/>
    <s v=""/>
    <m/>
    <s v="HIGHLIGHTER / STABILO KENKO HL-100 HIJAUPCS3050"/>
  </r>
  <r>
    <x v="0"/>
    <s v=""/>
    <s v=""/>
    <m/>
    <m/>
    <m/>
    <s v=""/>
    <s v=""/>
    <s v=" "/>
    <s v=""/>
    <n v="480"/>
    <s v="PCS"/>
    <n v="1"/>
    <s v="STAKENHL100PINK"/>
    <s v="HIGHLIGHTER / STABILO KENKO HL-100 PINK"/>
    <s v="HIGHLIGHTER / STABILO KENKO HL-100 PINK"/>
    <n v="3050"/>
    <n v="0.13500000000000001"/>
    <m/>
    <n v="1266360"/>
    <m/>
    <m/>
    <n v="6"/>
    <n v="10"/>
    <n v="1464000"/>
    <n v="197640"/>
    <n v="0"/>
    <n v="197640"/>
    <n v="1266360"/>
    <s v=""/>
    <m/>
    <s v="HIGHLIGHTER / STABILO KENKO HL-100 PINKPCS3050"/>
  </r>
  <r>
    <x v="0"/>
    <s v=""/>
    <s v=""/>
    <m/>
    <m/>
    <m/>
    <s v=""/>
    <s v=""/>
    <s v=" "/>
    <s v=""/>
    <n v="50"/>
    <s v="BOX"/>
    <n v="1"/>
    <s v="STIKEN40PUTIH"/>
    <s v="STIP / PENGHAPUS KENKO ERW-40SQ PUTIH"/>
    <s v="STIP / PENGHAPUS KENKO ERW-40SQ PUTIH"/>
    <n v="27500"/>
    <n v="0.13500000000000001"/>
    <m/>
    <n v="1189375"/>
    <m/>
    <m/>
    <n v="6"/>
    <n v="10"/>
    <n v="1375000"/>
    <n v="185625"/>
    <n v="0"/>
    <n v="185625"/>
    <n v="1189375"/>
    <s v=""/>
    <m/>
    <s v="STIP / PENGHAPUS KENKO ERW-40SQ PUTIHBOX27500"/>
  </r>
  <r>
    <x v="0"/>
    <s v=""/>
    <s v=""/>
    <m/>
    <m/>
    <m/>
    <s v=""/>
    <s v=""/>
    <s v=" "/>
    <s v=""/>
    <n v="48"/>
    <s v="LSN"/>
    <n v="1"/>
    <s v="PUSKENPN30WARNA"/>
    <s v="PUSH PIN KENKO PN-30 WARNA"/>
    <s v="PUSH PIN KENKO PN-30 WARNA"/>
    <n v="33000"/>
    <n v="0.13500000000000001"/>
    <m/>
    <n v="1370160"/>
    <m/>
    <m/>
    <n v="6"/>
    <n v="10"/>
    <n v="1584000"/>
    <n v="213840"/>
    <n v="0"/>
    <n v="213840"/>
    <n v="1370160"/>
    <s v=""/>
    <m/>
    <s v="PUSH PIN KENKO PN-30 WARNALSN33000"/>
  </r>
  <r>
    <x v="0"/>
    <s v=""/>
    <s v=""/>
    <m/>
    <m/>
    <m/>
    <s v=""/>
    <s v=""/>
    <s v=" "/>
    <s v=""/>
    <n v="500"/>
    <s v="PCS"/>
    <n v="1"/>
    <s v="LABJKLB3"/>
    <s v="LABEL HARGA JOYKO LB-3 (2 LINE KUNING FLUOR)"/>
    <s v="LABEL HARGA JOYKO LB-3 (2 LINE KUNING FLUOR)"/>
    <n v="4300"/>
    <n v="0.13500000000000001"/>
    <m/>
    <n v="1859750"/>
    <m/>
    <m/>
    <n v="6"/>
    <n v="10"/>
    <n v="2150000"/>
    <n v="290250"/>
    <n v="0"/>
    <n v="290250"/>
    <n v="1859750"/>
    <s v=""/>
    <m/>
    <s v="LABEL HARGA JOYKO LB-3 (2 LINE KUNING FLUOR)PCS4300"/>
  </r>
  <r>
    <x v="0"/>
    <s v=""/>
    <s v=""/>
    <m/>
    <m/>
    <m/>
    <s v=""/>
    <s v=""/>
    <s v=" "/>
    <s v=""/>
    <n v="1000"/>
    <s v="PCS"/>
    <n v="5"/>
    <s v="ISIKEN1210"/>
    <s v="ISI STAPLER (STAPLES) KENKO 1210 PREMIUM (23/10)"/>
    <s v="ISI STAPLER (STAPLES) KENKO 1210 PREMIUM (23/10)"/>
    <n v="4200"/>
    <n v="0.13500000000000001"/>
    <m/>
    <n v="3633000"/>
    <m/>
    <m/>
    <n v="6"/>
    <n v="10"/>
    <n v="4200000"/>
    <n v="567000"/>
    <n v="0"/>
    <n v="567000"/>
    <n v="3633000"/>
    <s v=""/>
    <m/>
    <s v="ISI STAPLER (STAPLES) KENKO 1210 PREMIUM (23/10)PCS4200"/>
  </r>
  <r>
    <x v="0"/>
    <s v=""/>
    <s v=""/>
    <m/>
    <m/>
    <m/>
    <s v=""/>
    <s v=""/>
    <s v=" "/>
    <s v=""/>
    <n v="432"/>
    <s v="LSN"/>
    <n v="3"/>
    <s v="PENKENKE303HITAM"/>
    <s v="GEL PEN KENKO KE-303 T-GEL TRIANGULAR HITAM"/>
    <s v="GEL PEN KENKO KE-303 T-GEL TRIANGULAR HITAM"/>
    <n v="21600"/>
    <n v="0.13500000000000001"/>
    <m/>
    <n v="8071488"/>
    <m/>
    <m/>
    <n v="6"/>
    <n v="10"/>
    <n v="9331200"/>
    <n v="1259712"/>
    <n v="0"/>
    <n v="1259712"/>
    <n v="8071488"/>
    <s v=""/>
    <m/>
    <s v="GEL PEN KENKO KE-303 T-GEL TRIANGULAR HITAMLSN21600"/>
  </r>
  <r>
    <x v="0"/>
    <s v=""/>
    <s v=""/>
    <m/>
    <m/>
    <m/>
    <s v=""/>
    <s v=""/>
    <s v=" "/>
    <s v=""/>
    <n v="6"/>
    <s v="PCS"/>
    <n v="1"/>
    <s v="STAKENHD12N24"/>
    <s v="STAPLER HEAVY DUTY KENKO HD-12N/24"/>
    <s v="STAPLER HEAVY DUTY KENKO HD-12N/24"/>
    <n v="155000"/>
    <n v="0.13500000000000001"/>
    <m/>
    <n v="804450"/>
    <m/>
    <m/>
    <n v="6"/>
    <n v="10"/>
    <n v="930000"/>
    <n v="125550.00000000001"/>
    <n v="0"/>
    <n v="125550.00000000001"/>
    <n v="804450"/>
    <s v=""/>
    <m/>
    <s v="STAPLER HEAVY DUTY KENKO HD-12N/24PCS15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50003"/>
    <d v="2024-05-04T00:00:00"/>
    <n v="4"/>
    <s v="4713"/>
    <s v="TRIOPLAZA"/>
    <s v="AM 24050003"/>
    <s v="G"/>
    <s v="G 4713"/>
    <s v="PT.HASTA KENCANA SAKTI ( TRIO PLAZA ) MAGELANG"/>
    <n v="48"/>
    <s v="PCS"/>
    <m/>
    <s v="PENVANGP559"/>
    <s v="GEL PEN VANCO 0.28MM GP-559 HI-TOUCH"/>
    <s v="GEL PEN VANCO 0.28 GP-559 HI-TOUCH"/>
    <n v="2000"/>
    <m/>
    <m/>
    <n v="96000"/>
    <s v="NOVI / CONDRO"/>
    <m/>
    <n v="17"/>
    <n v="2"/>
    <n v="96000"/>
    <n v="0"/>
    <n v="0"/>
    <n v="0"/>
    <n v="96000"/>
    <n v="195984"/>
    <m/>
    <s v="GEL PEN VANCO 0.28 GP-559 HI-TOUCHPCS2000"/>
  </r>
  <r>
    <x v="0"/>
    <s v=""/>
    <s v=""/>
    <m/>
    <m/>
    <m/>
    <s v=""/>
    <s v=""/>
    <s v=" "/>
    <s v=""/>
    <n v="48"/>
    <s v="PCS"/>
    <m/>
    <s v="penvc1609"/>
    <s v="GEL PEN VANCO VC-1609"/>
    <s v="GEL PEN VANCO VC-1609"/>
    <n v="2083"/>
    <m/>
    <m/>
    <n v="99984"/>
    <m/>
    <m/>
    <n v="17"/>
    <n v="2"/>
    <n v="99984"/>
    <n v="0"/>
    <n v="0"/>
    <n v="0"/>
    <n v="99984"/>
    <s v=""/>
    <m/>
    <s v="GEL PEN VANCO VC-1609PCS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50004"/>
    <d v="2024-05-04T00:00:00"/>
    <n v="4"/>
    <s v="4714"/>
    <s v="TRIOPLAZA"/>
    <s v="AM 24050004"/>
    <s v="G"/>
    <s v="G 4714"/>
    <s v="PT.HASTA KENCANA SAKTI ( TRIO PLAZA ) MAGELANG"/>
    <n v="12"/>
    <s v="PCS"/>
    <m/>
    <s v="OPJK12W"/>
    <s v="CRAYON / OIL PASTEL JOYKO OP-12S PP CASE SEA WORLD"/>
    <s v="CRAYON / OIL PASTEL JOYKO OP-12S PP CASE SEA WORLD"/>
    <n v="12300"/>
    <m/>
    <m/>
    <n v="147600"/>
    <s v="NOVI / CONDRO"/>
    <m/>
    <n v="20"/>
    <n v="4"/>
    <n v="147600"/>
    <n v="0"/>
    <n v="0"/>
    <n v="0"/>
    <n v="147600"/>
    <n v="663900"/>
    <m/>
    <s v="CRAYON / OIL PASTEL JOYKO OP-12S PP CASE SEA WORLDPCS12300"/>
  </r>
  <r>
    <x v="0"/>
    <s v=""/>
    <s v=""/>
    <m/>
    <m/>
    <m/>
    <s v=""/>
    <s v=""/>
    <s v=" "/>
    <s v=""/>
    <n v="3"/>
    <s v="PCS"/>
    <m/>
    <s v="OPJK36W"/>
    <s v="CRAYON / OIL PASTEL JOYKO OP-36S PP CASE SEA WORLD"/>
    <s v="CRAYON / OIL PASTEL JOYKO OP-36S PP CASE SEA WORLD"/>
    <n v="42700"/>
    <m/>
    <m/>
    <n v="128100"/>
    <m/>
    <m/>
    <n v="20"/>
    <n v="4"/>
    <n v="128100"/>
    <n v="0"/>
    <n v="0"/>
    <n v="0"/>
    <n v="128100"/>
    <s v=""/>
    <m/>
    <s v="CRAYON / OIL PASTEL JOYKO OP-36S PP CASE SEA WORLDPCS42700"/>
  </r>
  <r>
    <x v="0"/>
    <s v=""/>
    <s v=""/>
    <m/>
    <m/>
    <m/>
    <s v=""/>
    <s v=""/>
    <s v=" "/>
    <s v=""/>
    <n v="3"/>
    <s v="PCS"/>
    <m/>
    <s v="OPJK48W"/>
    <s v="CRAYON / OIL PASTEL JOYKO OP-48S PP CASE SEA WORLD"/>
    <s v="CRAYON / OIL PASTEL JOYKO OP-48S PP CASE SEA WORLD"/>
    <n v="60700"/>
    <m/>
    <m/>
    <n v="182100"/>
    <m/>
    <m/>
    <n v="20"/>
    <n v="4"/>
    <n v="182100"/>
    <n v="0"/>
    <n v="0"/>
    <n v="0"/>
    <n v="182100"/>
    <s v=""/>
    <m/>
    <s v="CRAYON / OIL PASTEL JOYKO OP-48S PP CASE SEA WORLDPCS60700"/>
  </r>
  <r>
    <x v="0"/>
    <s v=""/>
    <s v=""/>
    <m/>
    <m/>
    <m/>
    <s v=""/>
    <s v=""/>
    <s v=" "/>
    <s v=""/>
    <n v="3"/>
    <s v="PCS"/>
    <m/>
    <s v="OPJK55W"/>
    <s v="CRAYON / OIL PASTEL JOYKO OP-55S PP CASE SEA WORLD"/>
    <s v="CRAYON / OIL PASTEL JOYKO OP-55S PP CASE SEA WORLD"/>
    <n v="68700"/>
    <m/>
    <m/>
    <n v="206100"/>
    <m/>
    <m/>
    <n v="20"/>
    <n v="4"/>
    <n v="206100"/>
    <n v="0"/>
    <n v="0"/>
    <n v="0"/>
    <n v="206100"/>
    <s v=""/>
    <m/>
    <s v="CRAYON / OIL PASTEL JOYKO OP-55S PP CASE SEA WORLDPCS68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50005"/>
    <d v="2024-05-07T00:00:00"/>
    <n v="7"/>
    <s v="3119"/>
    <s v="LANCAR"/>
    <s v="AM 24050005"/>
    <s v="KO"/>
    <s v="KO 3119"/>
    <s v="CV LANCAR JAYA SENTOSA MALANG"/>
    <n v="1440"/>
    <s v="PCS"/>
    <n v="2"/>
    <s v="TIPJKCT522"/>
    <s v="CORRECTION TAPE JOYKO CT-522"/>
    <s v="CORRECTION TAPE JOYKO CT-522"/>
    <n v="4300"/>
    <n v="0.125"/>
    <m/>
    <n v="5418000"/>
    <s v="RISMA / CONDRO"/>
    <m/>
    <n v="25"/>
    <n v="4"/>
    <n v="6192000"/>
    <n v="774000"/>
    <n v="0"/>
    <n v="774000"/>
    <n v="5418000"/>
    <n v="15258250"/>
    <m/>
    <s v="CORRECTION TAPE JOYKO CT-522PCS4300"/>
  </r>
  <r>
    <x v="0"/>
    <s v=""/>
    <s v=""/>
    <m/>
    <m/>
    <m/>
    <s v=""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25"/>
    <n v="4"/>
    <n v="5660000"/>
    <n v="707500"/>
    <n v="0"/>
    <n v="707500"/>
    <n v="4952500"/>
    <s v=""/>
    <m/>
    <s v="STIP / PENGHAPUS JOYKO 526-B40P PUTIHBOX28300"/>
  </r>
  <r>
    <x v="0"/>
    <s v=""/>
    <s v=""/>
    <m/>
    <m/>
    <m/>
    <s v=""/>
    <s v=""/>
    <s v=" "/>
    <s v=""/>
    <n v="120"/>
    <s v="PCS"/>
    <n v="1"/>
    <s v="PUNJK30XL"/>
    <s v="PUNCH JOYKO 30XL"/>
    <s v="PUNCH JOYKO 30XL"/>
    <n v="12950"/>
    <n v="0.125"/>
    <m/>
    <n v="1359750"/>
    <m/>
    <m/>
    <n v="25"/>
    <n v="4"/>
    <n v="1554000"/>
    <n v="194250"/>
    <n v="0"/>
    <n v="194250"/>
    <n v="1359750"/>
    <s v=""/>
    <m/>
    <s v="PUNCH JOYKO 30XLPCS12950"/>
  </r>
  <r>
    <x v="0"/>
    <s v=""/>
    <s v=""/>
    <m/>
    <m/>
    <m/>
    <s v=""/>
    <s v=""/>
    <s v=" "/>
    <s v=""/>
    <n v="24"/>
    <s v="LSN"/>
    <n v="1"/>
    <s v="CUTJKL500"/>
    <s v="CUTTER 18 MM JOYKO L-500 + ISI (BESAR)"/>
    <s v="CUTTER 18 MM JOYKO L-500 + ISI (BESAR)"/>
    <n v="168000"/>
    <n v="0.125"/>
    <m/>
    <n v="3528000"/>
    <m/>
    <m/>
    <n v="25"/>
    <n v="4"/>
    <n v="4032000"/>
    <n v="504000"/>
    <n v="0"/>
    <n v="504000"/>
    <n v="3528000"/>
    <s v=""/>
    <m/>
    <s v="CUTTER 18 MM JOYKO L-500 + ISI (BESAR)LSN168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50006"/>
    <d v="2024-05-07T00:00:00"/>
    <n v="7"/>
    <s v="2993"/>
    <s v="REJOAGUNG"/>
    <s v="AM 24050006"/>
    <s v="G"/>
    <s v="G 2993"/>
    <s v="LILY JULIAWATI (REJO AGUNG) JOMBANG"/>
    <n v="120"/>
    <s v="PCS"/>
    <n v="1"/>
    <s v="CALJKCC15A"/>
    <s v="CALCULATOR JOYKO CC-15A"/>
    <s v="CALCULATOR JOYKO CC-15A"/>
    <n v="47000"/>
    <n v="0.125"/>
    <m/>
    <n v="4935000"/>
    <s v="LENA / CONDRO"/>
    <m/>
    <n v="30"/>
    <n v="6"/>
    <n v="5640000"/>
    <n v="705000"/>
    <n v="0"/>
    <n v="705000"/>
    <n v="4935000"/>
    <n v="46655000"/>
    <m/>
    <s v="CALCULATOR JOYKO CC-15APCS47000"/>
  </r>
  <r>
    <x v="0"/>
    <s v=""/>
    <s v=""/>
    <m/>
    <m/>
    <m/>
    <s v=""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30"/>
    <n v="6"/>
    <n v="4480000"/>
    <n v="560000"/>
    <n v="0"/>
    <n v="560000"/>
    <n v="3920000"/>
    <s v=""/>
    <m/>
    <s v="CALCULATOR JOYKO CC-12CO WARNAPCS56000"/>
  </r>
  <r>
    <x v="0"/>
    <s v=""/>
    <s v=""/>
    <m/>
    <m/>
    <m/>
    <s v=""/>
    <s v=""/>
    <s v=" "/>
    <s v=""/>
    <n v="120"/>
    <s v="PCS"/>
    <n v="1"/>
    <s v="CALJKCC8CO"/>
    <s v="CALCULATOR JOYKO CC-8CO WARNA"/>
    <s v="CALCULATOR JOYKO CC-8CO WARNA"/>
    <n v="38000"/>
    <n v="0.125"/>
    <m/>
    <n v="3990000"/>
    <m/>
    <m/>
    <n v="30"/>
    <n v="6"/>
    <n v="4560000"/>
    <n v="570000"/>
    <n v="0"/>
    <n v="570000"/>
    <n v="3990000"/>
    <s v=""/>
    <m/>
    <s v="CALCULATOR JOYKO CC-8CO WARNAPCS38000"/>
  </r>
  <r>
    <x v="0"/>
    <s v=""/>
    <s v=""/>
    <m/>
    <m/>
    <m/>
    <s v=""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30"/>
    <n v="6"/>
    <n v="4440000"/>
    <n v="555000"/>
    <n v="0"/>
    <n v="555000"/>
    <n v="3885000"/>
    <s v=""/>
    <m/>
    <s v="CALCULATOR JOYKO CC-41PCS74000"/>
  </r>
  <r>
    <x v="0"/>
    <s v=""/>
    <s v=""/>
    <m/>
    <m/>
    <m/>
    <s v=""/>
    <s v=""/>
    <s v=" "/>
    <s v=""/>
    <n v="100"/>
    <s v="LSN"/>
    <n v="5"/>
    <s v="CUTKENL500"/>
    <s v="CUTTER 18 MM KENKO L-500 (BESAR)"/>
    <s v="CUTTER 18 MM KENKO L-500 (BESAR)"/>
    <n v="147600"/>
    <n v="0.125"/>
    <m/>
    <n v="12915000"/>
    <m/>
    <m/>
    <n v="30"/>
    <n v="6"/>
    <n v="14760000"/>
    <n v="1845000"/>
    <n v="0"/>
    <n v="1845000"/>
    <n v="12915000"/>
    <s v=""/>
    <m/>
    <s v="CUTTER 18 MM KENKO L-500 (BESAR)LSN147600"/>
  </r>
  <r>
    <x v="0"/>
    <s v=""/>
    <s v=""/>
    <m/>
    <m/>
    <m/>
    <s v=""/>
    <s v=""/>
    <s v=" "/>
    <s v=""/>
    <n v="300"/>
    <s v="LSN"/>
    <n v="5"/>
    <s v="ISIKENBESAR"/>
    <s v="ISI CUTTER 18 MM KENKO L-150 (BESAR)"/>
    <s v="ISI CUTTER 18 MM KENKO L-150 (BESAR)"/>
    <n v="64800"/>
    <n v="0.125"/>
    <m/>
    <n v="17010000"/>
    <m/>
    <m/>
    <n v="30"/>
    <n v="6"/>
    <n v="19440000"/>
    <n v="2430000"/>
    <n v="0"/>
    <n v="2430000"/>
    <n v="17010000"/>
    <s v="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4050007"/>
    <d v="2024-05-08T00:00:00"/>
    <n v="8"/>
    <s v="3000"/>
    <s v="REJOAGUNG"/>
    <s v="AM 24050007"/>
    <s v="G"/>
    <s v="G 3000"/>
    <s v="LILY JULIAWATI (REJO AGUNG) JOMBANG"/>
    <n v="180"/>
    <s v="LSN"/>
    <n v="5"/>
    <s v="TIPKENKE01"/>
    <s v="CORRECTION FLUID KENKO KE-01"/>
    <s v="CORRECTION FLUID KENKO KE-01"/>
    <n v="56100"/>
    <n v="0.125"/>
    <m/>
    <n v="8835750"/>
    <s v="NOVI / CONDRO"/>
    <m/>
    <n v="37"/>
    <n v="2"/>
    <n v="10098000"/>
    <n v="1262250"/>
    <n v="0"/>
    <n v="1262250"/>
    <n v="8835750"/>
    <n v="13456800"/>
    <m/>
    <s v="CORRECTION FLUID KENKO KE-01LSN56100"/>
  </r>
  <r>
    <x v="0"/>
    <s v=""/>
    <s v=""/>
    <m/>
    <m/>
    <m/>
    <s v=""/>
    <s v=""/>
    <s v=" "/>
    <s v=""/>
    <n v="108"/>
    <s v="LSN"/>
    <n v="3"/>
    <s v="TIPKENKE108"/>
    <s v="CORRECTION FLUID KENKO KE-108"/>
    <s v="CORRECTION FLUID KENKO KE-108"/>
    <n v="48900"/>
    <n v="0.125"/>
    <m/>
    <n v="4621050"/>
    <m/>
    <m/>
    <n v="37"/>
    <n v="2"/>
    <n v="5281200"/>
    <n v="660150"/>
    <n v="0"/>
    <n v="660150"/>
    <n v="4621050"/>
    <s v=""/>
    <m/>
    <s v="CORRECTION FLUID KENKO KE-108LSN48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50008"/>
    <d v="2024-05-08T00:00:00"/>
    <n v="8"/>
    <s v="4804"/>
    <s v="NIRMALA"/>
    <s v="AM 24050008"/>
    <s v="KO"/>
    <s v="KO 4804"/>
    <s v="CV SINAR CAHAYA NIRMALA BREBES"/>
    <n v="1"/>
    <s v="LSN"/>
    <m/>
    <s v="PCFY6823"/>
    <s v="PENCIL CASE 23 x 8.5 MAGNET FY-6823"/>
    <s v="PENCIL CASE 23 x 8.5 MAGNET FY-6823"/>
    <n v="200000"/>
    <m/>
    <m/>
    <n v="200000"/>
    <s v="NOVI / CONDRO"/>
    <m/>
    <n v="40"/>
    <n v="9"/>
    <n v="200000"/>
    <n v="0"/>
    <n v="0"/>
    <n v="0"/>
    <n v="200000"/>
    <n v="1537320"/>
    <m/>
    <s v="PENCIL CASE 23 x 8.5 MAGNET FY-6823LSN200000"/>
  </r>
  <r>
    <x v="0"/>
    <s v=""/>
    <s v=""/>
    <m/>
    <m/>
    <m/>
    <s v=""/>
    <s v=""/>
    <s v=" "/>
    <s v=""/>
    <n v="1"/>
    <s v="LSN"/>
    <m/>
    <s v="PCC27551"/>
    <s v="PENCIL CASE 22 x 7.5 MAGNET C-2755"/>
    <s v="PENCIL CASE 22 x 7.5 MAGNET C-2755"/>
    <n v="175000"/>
    <m/>
    <m/>
    <n v="175000"/>
    <m/>
    <m/>
    <n v="40"/>
    <n v="9"/>
    <n v="175000"/>
    <n v="0"/>
    <n v="0"/>
    <n v="0"/>
    <n v="175000"/>
    <s v=""/>
    <m/>
    <s v="PENCIL CASE 22 x 7.5 MAGNET C-2755LSN175000"/>
  </r>
  <r>
    <x v="0"/>
    <s v=""/>
    <s v=""/>
    <m/>
    <m/>
    <m/>
    <s v=""/>
    <s v=""/>
    <s v=" "/>
    <s v=""/>
    <n v="1"/>
    <s v="LSN"/>
    <m/>
    <s v="PCFY6822"/>
    <s v="PENCIL CASE 22 x 7.5 MAGNET FY-6822"/>
    <s v="PENCIL CASE 22 x 7.5 MAGNET FY-6822"/>
    <n v="175000"/>
    <m/>
    <m/>
    <n v="175000"/>
    <m/>
    <m/>
    <n v="40"/>
    <n v="9"/>
    <n v="175000"/>
    <n v="0"/>
    <n v="0"/>
    <n v="0"/>
    <n v="175000"/>
    <s v=""/>
    <m/>
    <s v="PENCIL CASE 22 x 7.5 MAGNET FY-6822LSN175000"/>
  </r>
  <r>
    <x v="0"/>
    <s v=""/>
    <s v=""/>
    <m/>
    <m/>
    <m/>
    <s v=""/>
    <s v=""/>
    <s v=" "/>
    <s v=""/>
    <n v="1"/>
    <s v="LSN"/>
    <m/>
    <s v="PCJH220A"/>
    <s v="PENCIL CASE 23 x 8.5 MAGNET JH-220A"/>
    <s v="PENCIL CASE 23 x 8.5 MAGNET JH-220A"/>
    <n v="175000"/>
    <m/>
    <m/>
    <n v="175000"/>
    <m/>
    <m/>
    <n v="40"/>
    <n v="9"/>
    <n v="175000"/>
    <n v="0"/>
    <n v="0"/>
    <n v="0"/>
    <n v="175000"/>
    <s v=""/>
    <m/>
    <s v="PENCIL CASE 23 x 8.5 MAGNET JH-220ALSN175000"/>
  </r>
  <r>
    <x v="0"/>
    <s v=""/>
    <s v=""/>
    <m/>
    <m/>
    <m/>
    <s v=""/>
    <s v=""/>
    <s v=" "/>
    <s v=""/>
    <n v="1"/>
    <s v="LSN"/>
    <m/>
    <s v="PCK597"/>
    <s v="PENCIL CASE/ STUDY SET 20.5 x 7 KALENG K-597 MOBIL "/>
    <s v="PENCIL CASE/ STUDY SET 20.5 x 7 KALENG K-597 MOBIL "/>
    <n v="150000"/>
    <m/>
    <m/>
    <n v="150000"/>
    <m/>
    <m/>
    <n v="40"/>
    <n v="9"/>
    <n v="150000"/>
    <n v="0"/>
    <n v="0"/>
    <n v="0"/>
    <n v="150000"/>
    <s v=""/>
    <m/>
    <s v="PENCIL CASE/ STUDY SET 20.5 x 7 KALENG K-597 MOBIL LSN150000"/>
  </r>
  <r>
    <x v="0"/>
    <s v=""/>
    <s v=""/>
    <m/>
    <m/>
    <m/>
    <s v=""/>
    <s v=""/>
    <s v=" "/>
    <s v=""/>
    <n v="1"/>
    <s v="LSN"/>
    <m/>
    <s v="PCFC1760"/>
    <s v="PENCIL CASE 22 x 7.5 MAGNET FC-1760 (TIMBUL)"/>
    <s v="PENCIL CASE 22 x 7.5 MAGNET FC-1760 (TIMBUL)"/>
    <n v="175000"/>
    <m/>
    <m/>
    <n v="175000"/>
    <m/>
    <m/>
    <n v="40"/>
    <n v="9"/>
    <n v="175000"/>
    <n v="0"/>
    <n v="0"/>
    <n v="0"/>
    <n v="175000"/>
    <s v=""/>
    <m/>
    <s v="PENCIL CASE 22 x 7.5 MAGNET FC-1760 (TIMBUL)LSN175000"/>
  </r>
  <r>
    <x v="0"/>
    <s v=""/>
    <s v=""/>
    <m/>
    <m/>
    <m/>
    <s v=""/>
    <s v=""/>
    <s v=" "/>
    <s v=""/>
    <n v="1"/>
    <s v="LSN"/>
    <m/>
    <s v="PCFC1757"/>
    <s v="PENCIL CASE 22 x 7.5 MAGNET FC-1757"/>
    <s v="PENCIL CASE 22 x 7.5 MAGNET FC-1757"/>
    <n v="175000"/>
    <m/>
    <m/>
    <n v="175000"/>
    <m/>
    <m/>
    <n v="40"/>
    <n v="9"/>
    <n v="175000"/>
    <n v="0"/>
    <n v="0"/>
    <n v="0"/>
    <n v="175000"/>
    <s v=""/>
    <m/>
    <s v="PENCIL CASE 22 x 7.5 MAGNET FC-1757LSN175000"/>
  </r>
  <r>
    <x v="0"/>
    <s v=""/>
    <s v=""/>
    <m/>
    <m/>
    <m/>
    <s v=""/>
    <s v=""/>
    <s v=" "/>
    <s v=""/>
    <n v="1"/>
    <s v="LSN"/>
    <m/>
    <s v="PCFC5223"/>
    <s v="PENCIL CASE 23 x 8.5 MAGNET 3D FC-5223"/>
    <s v="PENCIL CASE 23 x 8.5 MAGNET 3D FC-5223"/>
    <n v="200000"/>
    <m/>
    <m/>
    <n v="200000"/>
    <m/>
    <m/>
    <n v="40"/>
    <n v="9"/>
    <n v="200000"/>
    <n v="0"/>
    <n v="0"/>
    <n v="0"/>
    <n v="200000"/>
    <s v=""/>
    <m/>
    <s v="PENCIL CASE 23 x 8.5 MAGNET 3D FC-5223LSN200000"/>
  </r>
  <r>
    <x v="0"/>
    <s v=""/>
    <s v=""/>
    <m/>
    <m/>
    <m/>
    <s v=""/>
    <s v=""/>
    <s v=" "/>
    <s v=""/>
    <n v="2"/>
    <s v="LSN"/>
    <m/>
    <s v="PCKEN0719TK01AF"/>
    <e v="#N/A"/>
    <s v="PENCIL CASE KENKO PC-0719-TK"/>
    <n v="62400"/>
    <n v="0.1"/>
    <m/>
    <n v="112320"/>
    <m/>
    <m/>
    <n v="40"/>
    <n v="9"/>
    <n v="124800"/>
    <n v="12480"/>
    <n v="0"/>
    <n v="12480"/>
    <n v="112320"/>
    <s v=""/>
    <m/>
    <s v="PENCIL CASE KENKO PC-0719-TKLSN6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50009"/>
    <d v="2024-05-10T00:00:00"/>
    <n v="10"/>
    <s v="4862"/>
    <s v="ANUGERAH"/>
    <s v="AM 24050009"/>
    <s v="KO"/>
    <s v="KO 4862"/>
    <s v="CV PELITA JAYA (ANUGERAH SEJAHTERA) PURWOKERTO"/>
    <n v="100"/>
    <s v="PAK"/>
    <n v="2"/>
    <s v="CLIKEN1"/>
    <s v="PAPER TRIGONAL CLIP KENKO NO. 1"/>
    <s v="PAPER TRIGONAL CLIP KENKO NO. 1"/>
    <n v="17000"/>
    <n v="0.13500000000000001"/>
    <m/>
    <n v="1470500"/>
    <s v="VALEN / NOVI"/>
    <m/>
    <n v="50"/>
    <n v="4"/>
    <n v="1700000"/>
    <n v="229500.00000000003"/>
    <n v="0"/>
    <n v="229500.00000000003"/>
    <n v="1470500"/>
    <n v="8508140"/>
    <m/>
    <s v="PAPER TRIGONAL CLIP KENKO NO. 1PAK17000"/>
  </r>
  <r>
    <x v="0"/>
    <s v=""/>
    <s v=""/>
    <m/>
    <m/>
    <m/>
    <s v=""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50"/>
    <n v="4"/>
    <n v="2400000"/>
    <n v="324000"/>
    <n v="0"/>
    <n v="324000"/>
    <n v="2076000"/>
    <s v=""/>
    <m/>
    <s v="PAPER TRIGONAL CLIP KENKO NO. 3PAK16000"/>
  </r>
  <r>
    <x v="0"/>
    <s v=""/>
    <s v=""/>
    <m/>
    <m/>
    <m/>
    <s v=""/>
    <s v=""/>
    <s v=" "/>
    <s v=""/>
    <n v="48"/>
    <s v="PCS"/>
    <n v="2"/>
    <s v="PUNKEN85"/>
    <s v="PUNCH KENKO NO. 85"/>
    <s v="PUNCH KENKO NO. 85"/>
    <n v="48500"/>
    <n v="0.13500000000000001"/>
    <m/>
    <n v="2013720"/>
    <m/>
    <m/>
    <n v="50"/>
    <n v="4"/>
    <n v="2328000"/>
    <n v="314280"/>
    <n v="0"/>
    <n v="314280"/>
    <n v="2013720"/>
    <s v=""/>
    <m/>
    <s v="PUNCH KENKO NO. 85PCS48500"/>
  </r>
  <r>
    <x v="0"/>
    <s v=""/>
    <s v=""/>
    <m/>
    <m/>
    <m/>
    <s v=""/>
    <s v=""/>
    <s v=" "/>
    <s v=""/>
    <n v="40"/>
    <s v="LSN"/>
    <n v="2"/>
    <s v="STAKENHD10"/>
    <s v="STAPLER KENKO HD-10"/>
    <s v="STAPLER KENKO HD-10"/>
    <n v="85200"/>
    <n v="0.13500000000000001"/>
    <m/>
    <n v="2947920"/>
    <m/>
    <m/>
    <n v="50"/>
    <n v="4"/>
    <n v="3408000"/>
    <n v="460080.00000000006"/>
    <n v="0"/>
    <n v="460080.00000000006"/>
    <n v="2947920"/>
    <s v=""/>
    <m/>
    <s v="STAPLER KENKO HD-10LSN85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50010"/>
    <d v="2024-05-11T00:00:00"/>
    <n v="11"/>
    <s v="4738"/>
    <s v="BENDAN"/>
    <s v="AM 24050010"/>
    <s v="KO"/>
    <s v="KO 4738"/>
    <s v="HARNOYO (BENDAN) PEKALONGAN"/>
    <n v="5"/>
    <s v="GRS"/>
    <m/>
    <s v="CLIKEN260"/>
    <s v="BINDER CLIP KENKO NO. 260"/>
    <s v="BINDER CLIP KENKO NO. 260"/>
    <n v="180000"/>
    <n v="0.14000000000000001"/>
    <m/>
    <n v="774000"/>
    <s v="NOVI / CONDRO"/>
    <m/>
    <n v="55"/>
    <n v="7"/>
    <n v="900000"/>
    <n v="126000.00000000001"/>
    <n v="0"/>
    <n v="126000.00000000001"/>
    <n v="774000"/>
    <n v="11687400"/>
    <m/>
    <s v="BINDER CLIP KENKO NO. 260GRS180000"/>
  </r>
  <r>
    <x v="0"/>
    <s v=""/>
    <s v=""/>
    <m/>
    <m/>
    <m/>
    <s v=""/>
    <s v=""/>
    <s v=" "/>
    <s v=""/>
    <n v="20"/>
    <s v="GRS"/>
    <n v="1"/>
    <s v="CLIKEN155"/>
    <s v="BINDER CLIP KENKO NO. 155"/>
    <s v="BINDER CLIP KENKO NO. 155"/>
    <n v="69000"/>
    <n v="0.14000000000000001"/>
    <m/>
    <n v="1186800"/>
    <m/>
    <m/>
    <n v="55"/>
    <n v="7"/>
    <n v="1380000"/>
    <n v="193200.00000000003"/>
    <n v="0"/>
    <n v="193200.00000000003"/>
    <n v="1186800"/>
    <s v=""/>
    <m/>
    <s v="BINDER CLIP KENKO NO. 155GRS69000"/>
  </r>
  <r>
    <x v="0"/>
    <s v=""/>
    <s v=""/>
    <m/>
    <m/>
    <m/>
    <s v=""/>
    <s v=""/>
    <s v=" "/>
    <s v=""/>
    <n v="288"/>
    <s v="PCS"/>
    <n v="2"/>
    <s v="OPTITI12W"/>
    <s v="CRAYON / OIL PASTEL TITI TI-P-12S"/>
    <s v="CRAYON / OIL PASTEL TITI TI-P-12S"/>
    <n v="14500"/>
    <n v="0.14000000000000001"/>
    <m/>
    <n v="3591360"/>
    <m/>
    <m/>
    <n v="55"/>
    <n v="7"/>
    <n v="4176000"/>
    <n v="584640"/>
    <n v="0"/>
    <n v="584640"/>
    <n v="3591360"/>
    <s v=""/>
    <m/>
    <s v="CRAYON / OIL PASTEL TITI TI-P-12SPCS14500"/>
  </r>
  <r>
    <x v="0"/>
    <s v=""/>
    <s v=""/>
    <m/>
    <m/>
    <m/>
    <s v=""/>
    <s v=""/>
    <s v=" "/>
    <s v=""/>
    <n v="72"/>
    <s v="PCS"/>
    <n v="1"/>
    <s v="OPTITI18W"/>
    <s v="CRAYON / OIL PASTEL TITI TI-P-18S"/>
    <s v="CRAYON / OIL PASTEL TITI TI-P-18S"/>
    <n v="27000"/>
    <n v="0.14000000000000001"/>
    <m/>
    <n v="1671840"/>
    <m/>
    <m/>
    <n v="55"/>
    <n v="7"/>
    <n v="1944000"/>
    <n v="272160"/>
    <n v="0"/>
    <n v="272160"/>
    <n v="1671840"/>
    <s v=""/>
    <m/>
    <s v="CRAYON / OIL PASTEL TITI TI-P-18SPCS27000"/>
  </r>
  <r>
    <x v="0"/>
    <s v=""/>
    <s v=""/>
    <m/>
    <m/>
    <m/>
    <s v=""/>
    <s v=""/>
    <s v=" "/>
    <s v=""/>
    <n v="36"/>
    <s v="PCS"/>
    <n v="1"/>
    <s v="OPTITI36W"/>
    <s v="CRAYON / OIL PASTEL TITI TI-P-36S"/>
    <s v="CRAYON / OIL PASTEL TITI TI-P-36S"/>
    <n v="47500"/>
    <n v="0.14000000000000001"/>
    <m/>
    <n v="1470600"/>
    <m/>
    <m/>
    <n v="55"/>
    <n v="7"/>
    <n v="1710000"/>
    <n v="239400.00000000003"/>
    <n v="0"/>
    <n v="239400.00000000003"/>
    <n v="1470600"/>
    <s v=""/>
    <m/>
    <s v="CRAYON / OIL PASTEL TITI TI-P-36SPCS47500"/>
  </r>
  <r>
    <x v="0"/>
    <s v=""/>
    <s v=""/>
    <m/>
    <m/>
    <m/>
    <s v=""/>
    <s v=""/>
    <s v=" "/>
    <s v=""/>
    <n v="24"/>
    <s v="PCS"/>
    <n v="1"/>
    <s v="OPTITI48W"/>
    <s v="CRAYON / OIL PASTEL TITI TI-P-48S"/>
    <s v="CRAYON / OIL PASTEL TITI TI-P-48S"/>
    <n v="69000"/>
    <n v="0.14000000000000001"/>
    <m/>
    <n v="1424160"/>
    <m/>
    <m/>
    <n v="55"/>
    <n v="7"/>
    <n v="1656000"/>
    <n v="231840.00000000003"/>
    <n v="0"/>
    <n v="231840.00000000003"/>
    <n v="1424160"/>
    <s v=""/>
    <m/>
    <s v="CRAYON / OIL PASTEL TITI TI-P-48SPCS69000"/>
  </r>
  <r>
    <x v="0"/>
    <s v=""/>
    <s v=""/>
    <m/>
    <m/>
    <m/>
    <s v=""/>
    <s v=""/>
    <s v=" "/>
    <s v=""/>
    <n v="24"/>
    <s v="PCS"/>
    <n v="1"/>
    <s v="OPTITI55W"/>
    <s v="CRAYON / OIL PASTEL TITI TI-P-55S"/>
    <s v="CRAYON / OIL PASTEL TITI TI-P-55S"/>
    <n v="76000"/>
    <n v="0.14000000000000001"/>
    <m/>
    <n v="1568640"/>
    <m/>
    <m/>
    <n v="55"/>
    <n v="7"/>
    <n v="1824000"/>
    <n v="255360.00000000003"/>
    <n v="0"/>
    <n v="255360.00000000003"/>
    <n v="1568640"/>
    <s v=""/>
    <m/>
    <s v="CRAYON / OIL PASTEL TITI TI-P-55SPCS7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50011"/>
    <d v="2024-05-10T00:00:00"/>
    <n v="10"/>
    <s v="4805"/>
    <s v="NIRMALA"/>
    <s v="AM 24050011"/>
    <s v="KO"/>
    <s v="KO 4805"/>
    <s v="CV SINAR CAHAYA NIRMALA BREBES"/>
    <n v="1"/>
    <s v="BOX"/>
    <m/>
    <m/>
    <s v=""/>
    <s v="BENSIA SF-9925 C ISI 42 PC (SENDOK GARPU)"/>
    <n v="58000"/>
    <m/>
    <m/>
    <n v="58000"/>
    <s v="RISMA / CONDRO"/>
    <m/>
    <n v="63"/>
    <n v="16"/>
    <n v="58000"/>
    <n v="0"/>
    <n v="0"/>
    <n v="0"/>
    <n v="58000"/>
    <n v="4632600"/>
    <m/>
    <s v="BENSIA SF-9925 C ISI 42 PC (SENDOK GARPU)BOX58000"/>
  </r>
  <r>
    <x v="0"/>
    <s v=""/>
    <s v=""/>
    <m/>
    <m/>
    <m/>
    <s v=""/>
    <s v=""/>
    <s v=" "/>
    <s v=""/>
    <n v="1"/>
    <s v="BOX"/>
    <m/>
    <m/>
    <s v=""/>
    <s v="BENSIA SF-9927 W ISI 42 PC (KIPAS/KINCIR)"/>
    <n v="58000"/>
    <m/>
    <m/>
    <n v="58000"/>
    <m/>
    <m/>
    <n v="63"/>
    <n v="16"/>
    <n v="58000"/>
    <n v="0"/>
    <n v="0"/>
    <n v="0"/>
    <n v="58000"/>
    <s v=""/>
    <m/>
    <s v="BENSIA SF-9927 W ISI 42 PC (KIPAS/KINCIR)BOX58000"/>
  </r>
  <r>
    <x v="0"/>
    <s v=""/>
    <s v=""/>
    <m/>
    <m/>
    <m/>
    <s v=""/>
    <s v=""/>
    <s v=" "/>
    <s v=""/>
    <n v="1"/>
    <s v="BOX"/>
    <m/>
    <m/>
    <s v=""/>
    <s v="BENSIA SF-9939 A ISI 32 PC (LOVE DADU)"/>
    <n v="63000"/>
    <m/>
    <m/>
    <n v="63000"/>
    <m/>
    <m/>
    <n v="63"/>
    <n v="16"/>
    <n v="63000"/>
    <n v="0"/>
    <n v="0"/>
    <n v="0"/>
    <n v="63000"/>
    <s v=""/>
    <m/>
    <s v="BENSIA SF-9939 A ISI 32 PC (LOVE DADU)BOX63000"/>
  </r>
  <r>
    <x v="0"/>
    <s v=""/>
    <s v=""/>
    <m/>
    <m/>
    <m/>
    <s v=""/>
    <s v=""/>
    <s v=" "/>
    <s v=""/>
    <n v="6"/>
    <s v="LSN"/>
    <m/>
    <s v="PENVANGP559"/>
    <s v="GEL PEN VANCO 0.28MM GP-559 HI-TOUCH"/>
    <s v="GEL PEN VANCO 0.28MM GP-559 HI-TOUCH"/>
    <n v="27500"/>
    <m/>
    <m/>
    <n v="165000"/>
    <m/>
    <m/>
    <n v="63"/>
    <n v="16"/>
    <n v="165000"/>
    <n v="0"/>
    <n v="0"/>
    <n v="0"/>
    <n v="165000"/>
    <s v=""/>
    <m/>
    <s v="GEL PEN VANCO 0.28MM GP-559 HI-TOUCHLSN27500"/>
  </r>
  <r>
    <x v="0"/>
    <s v=""/>
    <s v=""/>
    <m/>
    <m/>
    <m/>
    <s v=""/>
    <s v=""/>
    <s v=" "/>
    <s v=""/>
    <n v="2"/>
    <s v="BOX"/>
    <m/>
    <m/>
    <s v=""/>
    <s v="PENSIL ZHONG HUA 6925-2B/B OVAL"/>
    <n v="85000"/>
    <m/>
    <m/>
    <n v="170000"/>
    <m/>
    <m/>
    <n v="63"/>
    <n v="16"/>
    <n v="170000"/>
    <n v="0"/>
    <n v="0"/>
    <n v="0"/>
    <n v="170000"/>
    <s v=""/>
    <m/>
    <s v="PENSIL ZHONG HUA 6925-2B/B OVALBOX85000"/>
  </r>
  <r>
    <x v="0"/>
    <s v=""/>
    <s v=""/>
    <m/>
    <m/>
    <m/>
    <s v=""/>
    <s v=""/>
    <s v=" "/>
    <s v=""/>
    <n v="1"/>
    <s v="LSN"/>
    <m/>
    <s v="MAP2544"/>
    <s v="MAP TAS/ DOCUMEN BAG B6 2544 JARING + HANDLE"/>
    <s v="MAP TAS/ DOCUMEN BAG B6 2544 JARING + HANDLE"/>
    <n v="100000"/>
    <m/>
    <m/>
    <n v="100000"/>
    <m/>
    <m/>
    <n v="63"/>
    <n v="16"/>
    <n v="100000"/>
    <n v="0"/>
    <n v="0"/>
    <n v="0"/>
    <n v="100000"/>
    <s v=""/>
    <m/>
    <s v="MAP TAS/ DOCUMEN BAG B6 2544 JARING + HANDLELSN100000"/>
  </r>
  <r>
    <x v="0"/>
    <s v=""/>
    <s v=""/>
    <m/>
    <m/>
    <m/>
    <s v=""/>
    <s v=""/>
    <s v=" "/>
    <s v=""/>
    <n v="1"/>
    <s v="LSN"/>
    <m/>
    <s v="MAPT618"/>
    <s v="MAP TAS/ DOCUMEN BAG B5 T-618 (28 X 21)"/>
    <s v="MAP TAS/ DOCUMEN BAG B5 T-618 (28 X 21)"/>
    <n v="55000"/>
    <m/>
    <m/>
    <n v="55000"/>
    <m/>
    <m/>
    <n v="63"/>
    <n v="16"/>
    <n v="55000"/>
    <n v="0"/>
    <n v="0"/>
    <n v="0"/>
    <n v="55000"/>
    <s v=""/>
    <m/>
    <s v="MAP TAS/ DOCUMEN BAG B5 T-618 (28 X 21)LSN55000"/>
  </r>
  <r>
    <x v="0"/>
    <s v=""/>
    <s v=""/>
    <m/>
    <m/>
    <m/>
    <s v=""/>
    <s v=""/>
    <s v=" "/>
    <s v=""/>
    <n v="2"/>
    <s v="LSN"/>
    <m/>
    <s v="TIPKENCT634DT"/>
    <s v="CORRECTION TAPE KENKO CT-634DT (8M x 5MM)"/>
    <s v="CORRECTION TAPE KENKO CT-634DT (8M x 5MM)"/>
    <n v="49200"/>
    <n v="0.1"/>
    <m/>
    <n v="88560"/>
    <m/>
    <m/>
    <n v="63"/>
    <n v="16"/>
    <n v="98400"/>
    <n v="9840"/>
    <n v="0"/>
    <n v="9840"/>
    <n v="88560"/>
    <s v=""/>
    <m/>
    <s v="CORRECTION TAPE KENKO CT-634DT (8M x 5MM)LSN49200"/>
  </r>
  <r>
    <x v="0"/>
    <s v=""/>
    <s v=""/>
    <m/>
    <m/>
    <m/>
    <s v=""/>
    <s v=""/>
    <s v=" "/>
    <s v=""/>
    <n v="2"/>
    <s v="LSN"/>
    <m/>
    <s v="TIPKENCT902CL"/>
    <s v="CORRECTION TAPE KENKO CT-902CL (12M x 5MM)"/>
    <s v="CORRECTION TAPE KENKO CT-902CL (12M x 5MM)"/>
    <n v="54000"/>
    <n v="0.1"/>
    <m/>
    <n v="97200"/>
    <m/>
    <m/>
    <n v="63"/>
    <n v="16"/>
    <n v="108000"/>
    <n v="10800"/>
    <n v="0"/>
    <n v="10800"/>
    <n v="97200"/>
    <s v=""/>
    <m/>
    <s v="CORRECTION TAPE KENKO CT-902CL (12M x 5MM)LSN54000"/>
  </r>
  <r>
    <x v="0"/>
    <s v=""/>
    <s v=""/>
    <m/>
    <m/>
    <m/>
    <s v=""/>
    <s v=""/>
    <s v=" "/>
    <s v=""/>
    <n v="12"/>
    <s v="LSN"/>
    <m/>
    <s v="TIPKENKE107"/>
    <s v="CORRECTION FLUID KENKO KE-107M"/>
    <s v="CORRECTION FLUID KENKO KE-107M"/>
    <n v="57600"/>
    <n v="0.1"/>
    <m/>
    <n v="622080"/>
    <m/>
    <m/>
    <n v="63"/>
    <n v="16"/>
    <n v="691200"/>
    <n v="69120"/>
    <n v="0"/>
    <n v="69120"/>
    <n v="622080"/>
    <s v=""/>
    <m/>
    <s v="CORRECTION FLUID KENKO KE-107MLSN57600"/>
  </r>
  <r>
    <x v="0"/>
    <s v=""/>
    <s v=""/>
    <m/>
    <m/>
    <m/>
    <s v=""/>
    <s v=""/>
    <s v=" "/>
    <s v=""/>
    <n v="1"/>
    <s v="LSN"/>
    <m/>
    <s v="PWJK24WPENDEK"/>
    <s v="PENSIL WARNA JOYKO CP-S24 MINI (PENDEK)"/>
    <s v="PENSIL WARNA JOYKO CP-S24 MINI (PENDEK)"/>
    <n v="165600"/>
    <n v="0.1"/>
    <m/>
    <n v="149040"/>
    <m/>
    <m/>
    <n v="63"/>
    <n v="16"/>
    <n v="165600"/>
    <n v="16560"/>
    <n v="0"/>
    <n v="16560"/>
    <n v="149040"/>
    <s v=""/>
    <m/>
    <s v="PENSIL WARNA JOYKO CP-S24 MINI (PENDEK)LSN165600"/>
  </r>
  <r>
    <x v="0"/>
    <s v=""/>
    <s v=""/>
    <m/>
    <m/>
    <m/>
    <s v=""/>
    <s v=""/>
    <s v=" "/>
    <s v=""/>
    <n v="2"/>
    <s v="LSN"/>
    <m/>
    <s v="PWKEN12WKALENG"/>
    <s v="PENSIL WARNA KALENG KENKO CP-12F TIN CASE CLASSIC"/>
    <s v="PENSIL WARNA KALENG KENKO CP-12F TIN CASE CLASSIC"/>
    <n v="204000"/>
    <n v="0.1"/>
    <m/>
    <n v="367200"/>
    <m/>
    <m/>
    <n v="63"/>
    <n v="16"/>
    <n v="408000"/>
    <n v="40800"/>
    <n v="0"/>
    <n v="40800"/>
    <n v="367200"/>
    <s v=""/>
    <m/>
    <s v="PENSIL WARNA KALENG KENKO CP-12F TIN CASE CLASSICLSN204000"/>
  </r>
  <r>
    <x v="0"/>
    <s v=""/>
    <s v=""/>
    <m/>
    <m/>
    <m/>
    <s v=""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63"/>
    <n v="16"/>
    <n v="1490400"/>
    <n v="149040"/>
    <n v="0"/>
    <n v="149040"/>
    <n v="1341360"/>
    <s v=""/>
    <m/>
    <s v="PENSIL WARNA KENKO CP-12F CLASSIC (PANJANG)LSN124200"/>
  </r>
  <r>
    <x v="0"/>
    <s v=""/>
    <s v=""/>
    <m/>
    <m/>
    <m/>
    <s v=""/>
    <s v=""/>
    <s v=" "/>
    <s v=""/>
    <n v="12"/>
    <s v="LSN"/>
    <m/>
    <s v="PWKEN12WPENDEK"/>
    <s v="PENSIL WARNA KENKO CP-12HALF CLASSIC (PENDEK)"/>
    <s v="PENSIL WARNA KENKO CP-12HALF CLASSIC (PENDEK)"/>
    <n v="79200"/>
    <n v="0.1"/>
    <m/>
    <n v="855360"/>
    <m/>
    <m/>
    <n v="63"/>
    <n v="16"/>
    <n v="950400"/>
    <n v="95040"/>
    <n v="0"/>
    <n v="95040"/>
    <n v="855360"/>
    <s v=""/>
    <m/>
    <s v="PENSIL WARNA KENKO CP-12HALF CLASSIC (PENDEK)LSN79200"/>
  </r>
  <r>
    <x v="0"/>
    <s v=""/>
    <s v=""/>
    <m/>
    <m/>
    <m/>
    <s v=""/>
    <s v=""/>
    <s v=" "/>
    <s v=""/>
    <n v="2"/>
    <s v="LSN"/>
    <m/>
    <s v="PWKEN12WFBC"/>
    <s v="PENSIL WARNA KENKO BI-COLOR CP-12FBC (12/24) CLASSIC"/>
    <s v="PENSIL WARNA KENKO BI-COLOR CP-12FBC (12/24) CLASSIC"/>
    <n v="148800"/>
    <n v="0.1"/>
    <m/>
    <n v="267840"/>
    <m/>
    <m/>
    <n v="63"/>
    <n v="16"/>
    <n v="297600"/>
    <n v="29760"/>
    <n v="0"/>
    <n v="29760"/>
    <n v="267840"/>
    <s v=""/>
    <m/>
    <s v="PENSIL WARNA KENKO BI-COLOR CP-12FBC (12/24) CLASSICLSN148800"/>
  </r>
  <r>
    <x v="0"/>
    <s v=""/>
    <s v=""/>
    <m/>
    <m/>
    <m/>
    <s v=""/>
    <s v=""/>
    <s v=" "/>
    <s v=""/>
    <n v="3"/>
    <s v="LSN"/>
    <m/>
    <s v="PWJKCP107"/>
    <s v="PENSIL WARNA JOYKO CP-107 (12W)"/>
    <s v="PENSIL WARNA JOYKO CP-107 (12W)"/>
    <n v="64800"/>
    <n v="0.1"/>
    <m/>
    <n v="174960"/>
    <m/>
    <m/>
    <n v="63"/>
    <n v="16"/>
    <n v="194400"/>
    <n v="19440"/>
    <n v="0"/>
    <n v="19440"/>
    <n v="174960"/>
    <s v=""/>
    <m/>
    <s v="PENSIL WARNA JOYKO CP-107 (12W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50012"/>
    <d v="2024-05-10T00:00:00"/>
    <n v="10"/>
    <s v="4806"/>
    <s v="NIRMALA"/>
    <s v="AM 24050012"/>
    <s v="KO"/>
    <s v="KO 4806"/>
    <s v="CV SINAR CAHAYA NIRMALA BREBES"/>
    <n v="1"/>
    <s v="GRS"/>
    <m/>
    <s v="PENJKP88"/>
    <s v="PENSIL JOYKO 2B P-88"/>
    <s v="PENSIL JOYKO 2B P-88"/>
    <n v="104400"/>
    <n v="0.1"/>
    <m/>
    <n v="93960"/>
    <s v="RISMA / CONDRO"/>
    <m/>
    <n v="80"/>
    <n v="15"/>
    <n v="104400"/>
    <n v="10440"/>
    <n v="0"/>
    <n v="10440"/>
    <n v="93960"/>
    <n v="1962810"/>
    <m/>
    <s v="PENSIL JOYKO 2B P-88GRS104400"/>
  </r>
  <r>
    <x v="0"/>
    <s v=""/>
    <s v=""/>
    <m/>
    <m/>
    <m/>
    <s v=""/>
    <s v=""/>
    <s v=" "/>
    <s v=""/>
    <n v="1"/>
    <s v="GRS"/>
    <m/>
    <s v="PENKEN6363"/>
    <s v="PENSIL KENKO 2B-6363 HITAM MATTE"/>
    <s v="PENSIL KENKO 2B-6363 HITAM MATTE"/>
    <n v="112800"/>
    <n v="0.1"/>
    <m/>
    <n v="101520"/>
    <m/>
    <m/>
    <n v="80"/>
    <n v="15"/>
    <n v="112800"/>
    <n v="11280"/>
    <n v="0"/>
    <n v="11280"/>
    <n v="101520"/>
    <s v=""/>
    <m/>
    <s v="PENSIL KENKO 2B-6363 HITAM MATTEGRS112800"/>
  </r>
  <r>
    <x v="0"/>
    <s v=""/>
    <s v=""/>
    <m/>
    <m/>
    <m/>
    <s v=""/>
    <s v=""/>
    <s v=" "/>
    <s v=""/>
    <n v="1"/>
    <s v="GRS"/>
    <m/>
    <s v="PENKEN0810"/>
    <s v="PENSIL KENKO 2B-0810 FLOURESCENT"/>
    <s v="PENSIL KENKO 2B-0810 FLOURESCENT"/>
    <n v="115200"/>
    <n v="0.1"/>
    <m/>
    <n v="103680"/>
    <m/>
    <m/>
    <n v="80"/>
    <n v="15"/>
    <n v="115200"/>
    <n v="11520"/>
    <n v="0"/>
    <n v="11520"/>
    <n v="103680"/>
    <s v=""/>
    <m/>
    <s v="PENSIL KENKO 2B-0810 FLOURESCENTGRS115200"/>
  </r>
  <r>
    <x v="0"/>
    <s v=""/>
    <s v=""/>
    <m/>
    <m/>
    <m/>
    <s v=""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80"/>
    <n v="15"/>
    <n v="120000"/>
    <n v="12000"/>
    <n v="0"/>
    <n v="12000"/>
    <n v="108000"/>
    <s v=""/>
    <m/>
    <s v="PENSIL KENKO 2B-6393 FLUORESCENTGRS120000"/>
  </r>
  <r>
    <x v="0"/>
    <s v=""/>
    <s v=""/>
    <m/>
    <m/>
    <m/>
    <s v=""/>
    <s v=""/>
    <s v=" "/>
    <s v=""/>
    <n v="1"/>
    <s v="GRS"/>
    <m/>
    <s v="PENKEN0192"/>
    <s v="PENSIL KENKO 2B 0192-PEARL"/>
    <s v="PENSIL KENKO 2B 0192-PEARL"/>
    <n v="122400"/>
    <n v="0.1"/>
    <m/>
    <n v="110160"/>
    <m/>
    <m/>
    <n v="80"/>
    <n v="15"/>
    <n v="122400"/>
    <n v="12240"/>
    <n v="0"/>
    <n v="12240"/>
    <n v="110160"/>
    <s v=""/>
    <m/>
    <s v="PENSIL KENKO 2B 0192-PEARLGRS122400"/>
  </r>
  <r>
    <x v="0"/>
    <s v=""/>
    <s v=""/>
    <m/>
    <m/>
    <m/>
    <s v=""/>
    <s v=""/>
    <s v=" "/>
    <s v=""/>
    <n v="6"/>
    <s v="LSN"/>
    <m/>
    <s v="PENKENKE100HITAM"/>
    <s v="GEL PEN KENKO KE-100 HITAM"/>
    <s v="GEL PEN KENKO KE-100 HITAM"/>
    <n v="19200"/>
    <n v="0.1"/>
    <m/>
    <n v="103680"/>
    <m/>
    <m/>
    <n v="80"/>
    <n v="15"/>
    <n v="115200"/>
    <n v="11520"/>
    <n v="0"/>
    <n v="11520"/>
    <n v="103680"/>
    <s v=""/>
    <m/>
    <s v="GEL PEN KENKO KE-100 HITAMLSN19200"/>
  </r>
  <r>
    <x v="0"/>
    <s v=""/>
    <s v=""/>
    <m/>
    <m/>
    <m/>
    <s v=""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80"/>
    <n v="15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3"/>
    <s v="LSN"/>
    <m/>
    <s v="PENJKGP265HITAM"/>
    <s v="GEL PEN JOYKO GP-265 Q-GEL HITAM"/>
    <s v="GEL PEN JOYKO GP-265 Q-GEL HITAM"/>
    <n v="26400"/>
    <n v="0.1"/>
    <m/>
    <n v="71280"/>
    <m/>
    <m/>
    <n v="80"/>
    <n v="15"/>
    <n v="79200"/>
    <n v="7920"/>
    <n v="0"/>
    <n v="7920"/>
    <n v="71280"/>
    <s v=""/>
    <m/>
    <s v="GEL PEN JOYKO GP-265 Q-GEL HITAMLSN26400"/>
  </r>
  <r>
    <x v="0"/>
    <s v=""/>
    <s v=""/>
    <m/>
    <m/>
    <m/>
    <s v=""/>
    <s v=""/>
    <s v=" "/>
    <s v=""/>
    <n v="6"/>
    <s v="LSN"/>
    <m/>
    <s v="PENJKGP330"/>
    <s v="GEL PEN JOYKO GP-330 HITAM"/>
    <s v="GEL PEN JOYKO GP-330 HITAM"/>
    <n v="14100"/>
    <n v="0.1"/>
    <m/>
    <n v="76140"/>
    <m/>
    <m/>
    <n v="80"/>
    <n v="15"/>
    <n v="84600"/>
    <n v="8460"/>
    <n v="0"/>
    <n v="8460"/>
    <n v="76140"/>
    <s v=""/>
    <m/>
    <s v="GEL PEN JOYKO GP-330 HITAMLSN14100"/>
  </r>
  <r>
    <x v="0"/>
    <s v=""/>
    <s v=""/>
    <m/>
    <m/>
    <m/>
    <s v=""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80"/>
    <n v="15"/>
    <n v="118800"/>
    <n v="11880"/>
    <n v="0"/>
    <n v="11880"/>
    <n v="106920"/>
    <s v=""/>
    <m/>
    <s v="GEL PEN KENKO K-1 HITAMLSN39600"/>
  </r>
  <r>
    <x v="0"/>
    <s v=""/>
    <s v=""/>
    <m/>
    <m/>
    <m/>
    <s v=""/>
    <s v=""/>
    <s v=" "/>
    <s v=""/>
    <n v="3"/>
    <s v="LSN"/>
    <m/>
    <s v="PENKENK1ECOHITAM"/>
    <s v="GEL PEN KENKO K-1 ECO HITAM"/>
    <s v="GEL PEN KENKO K-1 ECO HITAM"/>
    <n v="27000"/>
    <n v="0.1"/>
    <m/>
    <n v="72900"/>
    <m/>
    <m/>
    <n v="80"/>
    <n v="15"/>
    <n v="81000"/>
    <n v="8100"/>
    <n v="0"/>
    <n v="8100"/>
    <n v="72900"/>
    <s v=""/>
    <m/>
    <s v="GEL PEN KENKO K-1 ECO HITAMLSN27000"/>
  </r>
  <r>
    <x v="0"/>
    <s v=""/>
    <s v=""/>
    <m/>
    <m/>
    <m/>
    <s v=""/>
    <s v=""/>
    <s v=" "/>
    <s v=""/>
    <n v="50"/>
    <s v="PAK"/>
    <m/>
    <s v="ISIJAB550"/>
    <e v="#N/A"/>
    <s v="LOOSE LEAF JOYART B5-2670 (50S)"/>
    <n v="5700"/>
    <n v="0.1"/>
    <m/>
    <n v="256500"/>
    <m/>
    <m/>
    <n v="80"/>
    <n v="15"/>
    <n v="285000"/>
    <n v="28500"/>
    <n v="0"/>
    <n v="28500"/>
    <n v="256500"/>
    <s v=""/>
    <m/>
    <s v="LOOSE LEAF JOYART B5-2670 (50S)PAK5700"/>
  </r>
  <r>
    <x v="0"/>
    <s v=""/>
    <s v=""/>
    <m/>
    <m/>
    <m/>
    <s v=""/>
    <s v=""/>
    <s v=" "/>
    <s v=""/>
    <n v="50"/>
    <s v="PAK"/>
    <m/>
    <s v="ISIKENA550"/>
    <s v="LOOSE LEAF KENKO A5-LL 50-2070"/>
    <s v="LOOSE LEAF KENKO A5-LL 50-2070"/>
    <n v="4400"/>
    <n v="0.1"/>
    <m/>
    <n v="198000"/>
    <m/>
    <m/>
    <n v="80"/>
    <n v="15"/>
    <n v="220000"/>
    <n v="22000"/>
    <n v="0"/>
    <n v="22000"/>
    <n v="198000"/>
    <s v=""/>
    <m/>
    <s v="LOOSE LEAF KENKO A5-LL 50-2070PAK4400"/>
  </r>
  <r>
    <x v="0"/>
    <s v=""/>
    <s v=""/>
    <m/>
    <m/>
    <m/>
    <s v=""/>
    <s v=""/>
    <s v=" "/>
    <s v=""/>
    <n v="46"/>
    <s v="PAK"/>
    <m/>
    <s v="LLKENA5100"/>
    <s v="LOOSE LEAF KENKO A5-LL 100-2070"/>
    <s v="LOOSE LEAF KENKO A5-LL 100-2070"/>
    <n v="8350"/>
    <n v="0.1"/>
    <m/>
    <n v="345690"/>
    <m/>
    <m/>
    <n v="80"/>
    <n v="15"/>
    <n v="384100"/>
    <n v="38410"/>
    <n v="0"/>
    <n v="38410"/>
    <n v="345690"/>
    <s v=""/>
    <m/>
    <s v="LOOSE LEAF KENKO A5-LL 100-2070PAK8350"/>
  </r>
  <r>
    <x v="0"/>
    <s v=""/>
    <s v=""/>
    <m/>
    <m/>
    <m/>
    <s v=""/>
    <s v=""/>
    <s v=" "/>
    <s v=""/>
    <n v="1"/>
    <s v="LSN"/>
    <m/>
    <s v="GUNKENSC838"/>
    <s v="GUNTING KENKO SC-838N"/>
    <s v="GUNTING KENKO SC-838N"/>
    <n v="79800"/>
    <n v="0.1"/>
    <m/>
    <n v="71820"/>
    <m/>
    <m/>
    <n v="80"/>
    <n v="15"/>
    <n v="79800"/>
    <n v="7980"/>
    <n v="0"/>
    <n v="7980"/>
    <n v="71820"/>
    <s v=""/>
    <m/>
    <s v="GUNTING KENKO SC-838NLSN7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50013"/>
    <d v="2024-05-10T00:00:00"/>
    <n v="10"/>
    <s v="4807"/>
    <s v="NIRMALA"/>
    <s v="AM 24050013"/>
    <s v="KO"/>
    <s v="KO 4807"/>
    <s v="CV SINAR CAHAYA NIRMALA BREBES"/>
    <n v="10"/>
    <s v="BOX"/>
    <m/>
    <s v="STIJK20HITAM"/>
    <s v="STIP / PENGHAPUS JOYKO ER-B20BL HITAM"/>
    <s v="STIP / PENGHAPUS JOYKO ER-B20BL HITAM"/>
    <n v="34100"/>
    <n v="0.1"/>
    <m/>
    <n v="306900"/>
    <s v="RISMA / CONDRO"/>
    <m/>
    <n v="96"/>
    <n v="9"/>
    <n v="341000"/>
    <n v="34100"/>
    <n v="0"/>
    <n v="34100"/>
    <n v="306900"/>
    <n v="6161040"/>
    <m/>
    <s v="STIP / PENGHAPUS JOYKO ER-B20BL HITAMBOX34100"/>
  </r>
  <r>
    <x v="0"/>
    <s v=""/>
    <s v=""/>
    <m/>
    <m/>
    <m/>
    <s v=""/>
    <s v=""/>
    <s v=" "/>
    <s v=""/>
    <n v="6"/>
    <s v="BOX"/>
    <m/>
    <s v="STIJK40HITAM"/>
    <s v="STIP / PENGHAPUS JOYKO 526-B40BL HITAM"/>
    <s v="STIP / PENGHAPUS JOYKO 526-B40BL HITAM"/>
    <n v="28300"/>
    <n v="0.1"/>
    <m/>
    <n v="152820"/>
    <m/>
    <m/>
    <n v="96"/>
    <n v="9"/>
    <n v="169800"/>
    <n v="16980"/>
    <n v="0"/>
    <n v="16980"/>
    <n v="152820"/>
    <s v=""/>
    <m/>
    <s v="STIP / PENGHAPUS JOYKO 526-B40BL HITAMBOX28300"/>
  </r>
  <r>
    <x v="0"/>
    <s v=""/>
    <s v=""/>
    <m/>
    <m/>
    <m/>
    <s v=""/>
    <s v=""/>
    <s v=" "/>
    <s v=""/>
    <n v="6"/>
    <s v="LSN"/>
    <m/>
    <s v="TIPKENKE826"/>
    <s v="CORRECTION FLUID KENKO KE-826M"/>
    <s v="CORRECTION FLUID KENKO KE-826M"/>
    <n v="62100"/>
    <n v="0.1"/>
    <m/>
    <n v="335340"/>
    <m/>
    <m/>
    <n v="96"/>
    <n v="9"/>
    <n v="372600"/>
    <n v="37260"/>
    <n v="0"/>
    <n v="37260"/>
    <n v="335340"/>
    <s v=""/>
    <m/>
    <s v="CORRECTION FLUID KENKO KE-826MLSN62100"/>
  </r>
  <r>
    <x v="0"/>
    <s v=""/>
    <s v=""/>
    <m/>
    <m/>
    <m/>
    <s v=""/>
    <s v=""/>
    <s v=" "/>
    <s v=""/>
    <n v="2"/>
    <s v="LSN"/>
    <m/>
    <s v="STAKENHD10"/>
    <s v="STAPLER KENKO HD-10"/>
    <s v="STAPLER KENKO HD-10"/>
    <n v="93000"/>
    <n v="0.1"/>
    <m/>
    <n v="167400"/>
    <m/>
    <m/>
    <n v="96"/>
    <n v="9"/>
    <n v="186000"/>
    <n v="18600"/>
    <n v="0"/>
    <n v="18600"/>
    <n v="167400"/>
    <s v=""/>
    <m/>
    <s v="STAPLER KENKO HD-10LSN93000"/>
  </r>
  <r>
    <x v="0"/>
    <s v=""/>
    <s v=""/>
    <m/>
    <m/>
    <m/>
    <s v=""/>
    <s v=""/>
    <s v=" "/>
    <s v=""/>
    <n v="1"/>
    <s v="LSN"/>
    <m/>
    <s v="CLIKEN3100"/>
    <s v="PAPER CLIP WARNA KENKO 3100"/>
    <s v="PAPER CLIP WARNA KENKO 3100"/>
    <n v="41400"/>
    <n v="0.1"/>
    <m/>
    <n v="37260"/>
    <m/>
    <m/>
    <n v="96"/>
    <n v="9"/>
    <n v="41400"/>
    <n v="4140"/>
    <n v="0"/>
    <n v="4140"/>
    <n v="37260"/>
    <s v=""/>
    <m/>
    <s v="PAPER CLIP WARNA KENKO 3100LSN41400"/>
  </r>
  <r>
    <x v="0"/>
    <s v=""/>
    <s v=""/>
    <m/>
    <m/>
    <m/>
    <s v=""/>
    <s v=""/>
    <s v=" "/>
    <s v=""/>
    <n v="72"/>
    <s v="ROL"/>
    <m/>
    <m/>
    <s v=""/>
    <s v="PLAKBAND BENING 80 M KENKO 48 MM RED CORE"/>
    <n v="10000"/>
    <n v="0.1"/>
    <m/>
    <n v="648000"/>
    <m/>
    <m/>
    <n v="96"/>
    <n v="9"/>
    <n v="720000"/>
    <n v="72000"/>
    <n v="0"/>
    <n v="72000"/>
    <n v="648000"/>
    <s v=""/>
    <m/>
    <s v="PLAKBAND BENING 80 M KENKO 48 MM RED COREROL10000"/>
  </r>
  <r>
    <x v="0"/>
    <s v=""/>
    <s v=""/>
    <m/>
    <m/>
    <m/>
    <s v=""/>
    <s v=""/>
    <s v=" "/>
    <s v=""/>
    <n v="144"/>
    <s v="PCS"/>
    <m/>
    <s v="OPJK12W"/>
    <s v="CRAYON / OIL PASTEL JOYKO OP-12S PP CASE SEA WORLD"/>
    <s v="CRAYON / OIL PASTEL JOYKO OP-12S PP CASE SEA WORLD"/>
    <n v="12300"/>
    <n v="0.1"/>
    <m/>
    <n v="1594080"/>
    <m/>
    <m/>
    <n v="96"/>
    <n v="9"/>
    <n v="1771200"/>
    <n v="177120"/>
    <n v="0"/>
    <n v="177120"/>
    <n v="1594080"/>
    <s v=""/>
    <m/>
    <s v="CRAYON / OIL PASTEL JOYKO OP-12S PP CASE SEA WORLDPCS12300"/>
  </r>
  <r>
    <x v="0"/>
    <s v=""/>
    <s v=""/>
    <m/>
    <m/>
    <m/>
    <s v=""/>
    <s v=""/>
    <s v=" "/>
    <s v=""/>
    <n v="72"/>
    <s v="PCS"/>
    <m/>
    <s v="OPJK18W"/>
    <s v="CRAYON / OIL PASTEL JOYKO OP-18S PP CASE SEA WORLD"/>
    <s v="CRAYON / OIL PASTEL JOYKO OP-18S PP CASE SEA WORLD"/>
    <n v="23700"/>
    <n v="0.1"/>
    <m/>
    <n v="1535760"/>
    <m/>
    <m/>
    <n v="96"/>
    <n v="9"/>
    <n v="1706400"/>
    <n v="170640"/>
    <n v="0"/>
    <n v="170640"/>
    <n v="1535760"/>
    <s v=""/>
    <m/>
    <s v="CRAYON / OIL PASTEL JOYKO OP-18S PP CASE SEA WORLDPCS23700"/>
  </r>
  <r>
    <x v="0"/>
    <s v=""/>
    <s v=""/>
    <m/>
    <m/>
    <m/>
    <s v=""/>
    <s v=""/>
    <s v=" "/>
    <s v=""/>
    <n v="36"/>
    <s v="PCS"/>
    <m/>
    <s v="OPJK36W"/>
    <s v="CRAYON / OIL PASTEL JOYKO OP-36S PP CASE SEA WORLD"/>
    <s v="CRAYON / OIL PASTEL JOYKO OP-36S PP CASE SEA WORLD"/>
    <n v="42700"/>
    <n v="0.1"/>
    <m/>
    <n v="1383480"/>
    <m/>
    <m/>
    <n v="96"/>
    <n v="9"/>
    <n v="1537200"/>
    <n v="153720"/>
    <n v="0"/>
    <n v="153720"/>
    <n v="1383480"/>
    <s v=""/>
    <m/>
    <s v="CRAYON / OIL PASTEL JOYKO OP-36S PP CASE SEA WORLDPCS42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50014"/>
    <d v="2024-05-11T00:00:00"/>
    <n v="11"/>
    <s v="4739"/>
    <s v="ANUGERAH"/>
    <s v="AM 24050014"/>
    <s v="KO"/>
    <s v="KO 4739"/>
    <s v="CV PELITA JAYA (ANUGERAH SEJAHTERA) PURWOKERTO"/>
    <n v="432"/>
    <s v="LSN"/>
    <n v="3"/>
    <s v="PENKENEASYGELHITAM"/>
    <s v="GEL PEN KENKO EASY GEL 0.3MM HITAM"/>
    <s v="GEL PEN KENKO EASY GEL 0.3MM HITAM"/>
    <n v="26100"/>
    <n v="0.13500000000000001"/>
    <m/>
    <n v="9753048"/>
    <s v="NOVI / CONDRO"/>
    <m/>
    <n v="106"/>
    <n v="2"/>
    <n v="11275200"/>
    <n v="1522152"/>
    <n v="0"/>
    <n v="1522152"/>
    <n v="9753048"/>
    <n v="13415112"/>
    <m/>
    <s v="GEL PEN KENKO EASY GEL 0.3MM HITAMLSN26100"/>
  </r>
  <r>
    <x v="0"/>
    <s v=""/>
    <s v=""/>
    <m/>
    <m/>
    <m/>
    <s v=""/>
    <s v=""/>
    <s v=" "/>
    <s v=""/>
    <n v="72"/>
    <s v="LSN"/>
    <n v="1"/>
    <s v="TIPKENKE823"/>
    <s v="CORRECTION FLUID KENKO KE-823M"/>
    <s v="CORRECTION FLUID KENKO KE-823M"/>
    <n v="58800"/>
    <n v="0.13500000000000001"/>
    <m/>
    <n v="3662064"/>
    <m/>
    <m/>
    <n v="106"/>
    <n v="2"/>
    <n v="4233600"/>
    <n v="571536"/>
    <n v="0"/>
    <n v="571536"/>
    <n v="3662064"/>
    <s v=""/>
    <m/>
    <s v="CORRECTION FLUID KENKO KE-823MLSN58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50015"/>
    <d v="2024-05-11T00:00:00"/>
    <n v="11"/>
    <s v="4809"/>
    <s v="RENI"/>
    <s v="AM 24050015"/>
    <s v="A"/>
    <s v="A 4809"/>
    <s v="CV FM 90 KEBUMEN"/>
    <n v="144"/>
    <s v="LSN"/>
    <n v="1"/>
    <s v="PENTF1190HITAM"/>
    <s v="GEL PEN TRIFELLO HI-TECH TF-1190 HITAM"/>
    <s v="GEL PEN TRIFELLO HI-TECH TF-1190 HITAM"/>
    <n v="28500"/>
    <m/>
    <m/>
    <n v="4104000"/>
    <s v="NOVI / CONDRO"/>
    <m/>
    <n v="109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50016"/>
    <d v="2024-05-11T00:00:00"/>
    <n v="11"/>
    <s v="4901"/>
    <s v="BENDAN"/>
    <s v="AM 24050016"/>
    <s v="KO"/>
    <s v="KO 4901"/>
    <s v="HARNOYO (BENDAN) PEKALONGAN"/>
    <n v="50"/>
    <s v="GRS"/>
    <n v="1"/>
    <s v="CLIKEN105"/>
    <s v="BINDER CLIP KENKO NO. 105"/>
    <s v="BINDER CLIP KENKO NO. 105"/>
    <n v="28800"/>
    <n v="0.14000000000000001"/>
    <m/>
    <n v="1238400"/>
    <s v="NOVI / CONDRO"/>
    <m/>
    <n v="111"/>
    <n v="1"/>
    <n v="1440000"/>
    <n v="201600.00000000003"/>
    <n v="0"/>
    <n v="201600.00000000003"/>
    <n v="1238400"/>
    <n v="1238400"/>
    <m/>
    <s v="BINDER CLIP KENKO NO. 105GRS28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50017"/>
    <d v="2024-05-13T00:00:00"/>
    <n v="13"/>
    <s v="4913"/>
    <s v="ANUGERAH"/>
    <s v="AM 24050017"/>
    <s v="KO"/>
    <s v="KO 4913"/>
    <s v="CV PELITA JAYA (ANUGERAH SEJAHTERA) PURWOKERTO"/>
    <n v="300"/>
    <s v="LSN"/>
    <n v="5"/>
    <s v="ISIKENBESAR"/>
    <s v="ISI CUTTER 18 MM KENKO L-150 (BESAR)"/>
    <s v="ISI CUTTER 18 MM KENKO L-150 (BESAR)"/>
    <n v="64800"/>
    <n v="0.13500000000000001"/>
    <m/>
    <n v="16815600"/>
    <s v="NOVI / CONDRO"/>
    <m/>
    <n v="113"/>
    <n v="1"/>
    <n v="19440000"/>
    <n v="2624400"/>
    <n v="0"/>
    <n v="2624400"/>
    <n v="16815600"/>
    <n v="16815600"/>
    <m/>
    <s v="ISI CUTTER 18 MM KENKO L-150 (BESAR)LSN64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50018"/>
    <d v="2024-05-13T00:00:00"/>
    <n v="13"/>
    <s v="4914"/>
    <s v="NIRMALA"/>
    <s v="AM 24050018"/>
    <s v="KO"/>
    <s v="KO 4914"/>
    <s v="CV SINAR CAHAYA NIRMALA BREBES"/>
    <n v="2"/>
    <s v="LSN"/>
    <m/>
    <s v="CLIKEN3100"/>
    <s v="PAPER CLIP WARNA KENKO 3100"/>
    <s v="PAPER CLIP WARNA KENKO 3100"/>
    <n v="41400"/>
    <n v="0.1"/>
    <m/>
    <n v="74520"/>
    <s v="NOVI / CONDRO"/>
    <m/>
    <n v="115"/>
    <n v="5"/>
    <n v="82800"/>
    <n v="8280"/>
    <n v="0"/>
    <n v="8280"/>
    <n v="74520"/>
    <n v="1977690"/>
    <m/>
    <s v="PAPER CLIP WARNA KENKO 3100LSN41400"/>
  </r>
  <r>
    <x v="0"/>
    <s v=""/>
    <s v=""/>
    <m/>
    <m/>
    <m/>
    <s v=""/>
    <s v=""/>
    <s v=" "/>
    <s v=""/>
    <n v="3"/>
    <s v="LSN"/>
    <m/>
    <s v="SPIKENPM100HITAM"/>
    <s v="SPIDOL PERMANEN KENKO PM-100 HITAM"/>
    <s v="SPIDOL PERMANEN KENKO PM-100 HITAM"/>
    <n v="36000"/>
    <n v="0.1"/>
    <m/>
    <n v="97200"/>
    <m/>
    <m/>
    <n v="115"/>
    <n v="5"/>
    <n v="108000"/>
    <n v="10800"/>
    <n v="0"/>
    <n v="10800"/>
    <n v="97200"/>
    <s v=""/>
    <m/>
    <s v="SPIDOL PERMANEN KENKO PM-100 HITAMLSN36000"/>
  </r>
  <r>
    <x v="0"/>
    <s v=""/>
    <s v=""/>
    <m/>
    <m/>
    <m/>
    <s v=""/>
    <s v=""/>
    <s v=" "/>
    <s v=""/>
    <n v="3"/>
    <s v="LSN"/>
    <m/>
    <s v="PENKENEASYGELHITAM"/>
    <s v="GEL PEN KENKO EASY GEL 0.3MM HITAM"/>
    <s v="GEL PEN KENKO EASY GEL 0.3MM HITAM"/>
    <n v="26100"/>
    <n v="0.1"/>
    <m/>
    <n v="70470"/>
    <m/>
    <m/>
    <n v="115"/>
    <n v="5"/>
    <n v="78300"/>
    <n v="7830"/>
    <n v="0"/>
    <n v="7830"/>
    <n v="70470"/>
    <s v=""/>
    <m/>
    <s v="GEL PEN KENKO EASY GEL 0.3MM HITAMLSN26100"/>
  </r>
  <r>
    <x v="0"/>
    <s v=""/>
    <s v=""/>
    <m/>
    <m/>
    <m/>
    <s v=""/>
    <s v=""/>
    <s v=" "/>
    <s v=""/>
    <n v="15"/>
    <s v="PAK"/>
    <m/>
    <s v="LLKENB5100"/>
    <s v="LOOSE LEAF KENKO B5-LL 100-2670"/>
    <s v="LOOSE LEAF KENKO B5-LL 100-2670"/>
    <n v="13000"/>
    <n v="0.1"/>
    <m/>
    <n v="175500"/>
    <m/>
    <m/>
    <n v="115"/>
    <n v="5"/>
    <n v="195000"/>
    <n v="19500"/>
    <n v="0"/>
    <n v="19500"/>
    <n v="175500"/>
    <s v=""/>
    <m/>
    <s v="LOOSE LEAF KENKO B5-LL 100-2670PAK13000"/>
  </r>
  <r>
    <x v="0"/>
    <s v=""/>
    <s v=""/>
    <m/>
    <m/>
    <m/>
    <s v=""/>
    <s v=""/>
    <s v=" "/>
    <s v=""/>
    <n v="240"/>
    <s v="PCS"/>
    <n v="1"/>
    <s v="SAMBOXKWBTK"/>
    <s v="SAMPUL SAMSON KWARTO BATIK"/>
    <s v="SAMPUL SAMSON KWARTO BATIK"/>
    <n v="6500"/>
    <m/>
    <m/>
    <n v="1560000"/>
    <m/>
    <m/>
    <n v="115"/>
    <n v="5"/>
    <n v="1560000"/>
    <n v="0"/>
    <n v="0"/>
    <n v="0"/>
    <n v="1560000"/>
    <s v=""/>
    <m/>
    <s v="SAMPUL SAMSON KWARTO BATIK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50019"/>
    <d v="2024-04-30T00:00:00"/>
    <n v="0"/>
    <s v="0"/>
    <n v="0"/>
    <s v="AM 24050019"/>
    <n v="0"/>
    <s v=""/>
    <s v="0 0 0"/>
    <n v="240"/>
    <s v="PCS"/>
    <n v="1"/>
    <s v="SAMKWFANCY"/>
    <e v="#N/A"/>
    <s v="SAMPUL SAMSON KWARTO FANCY"/>
    <n v="6500"/>
    <m/>
    <m/>
    <n v="1560000"/>
    <m/>
    <m/>
    <n v="124"/>
    <n v="1"/>
    <n v="1560000"/>
    <n v="0"/>
    <n v="0"/>
    <n v="0"/>
    <n v="1560000"/>
    <n v="1560000"/>
    <m/>
    <s v="SAMPUL SAMSON KWARTO FANCYPCS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50020"/>
    <d v="2024-04-30T00:00:00"/>
    <n v="0"/>
    <s v="0"/>
    <n v="0"/>
    <s v="AM 24050020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50021"/>
    <d v="2024-04-30T00:00:00"/>
    <n v="0"/>
    <s v="0"/>
    <n v="0"/>
    <s v="AM 24050021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50022"/>
    <d v="2024-04-30T00:00:00"/>
    <n v="0"/>
    <s v="0"/>
    <n v="0"/>
    <s v="AM 2405002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50023"/>
    <d v="2024-05-18T00:00:00"/>
    <n v="18"/>
    <s v="4949"/>
    <s v="ARMADA"/>
    <s v="AM 24050023"/>
    <s v="KO"/>
    <s v="KO 4949"/>
    <s v="SANTOSO BUDIONO (  ARMADA  ) PURWOKERTO"/>
    <n v="10"/>
    <s v="LSN"/>
    <m/>
    <s v="CUTKENL500"/>
    <s v="CUTTER 18 MM KENKO L-500 (BESAR)"/>
    <s v="CUTTER 18 MM KENKO L-500 (BESAR)"/>
    <n v="147600"/>
    <n v="0.125"/>
    <m/>
    <n v="1291500"/>
    <s v="NOVI / CONDRO"/>
    <m/>
    <n v="133"/>
    <n v="5"/>
    <n v="1476000"/>
    <n v="184500"/>
    <n v="0"/>
    <n v="184500"/>
    <n v="1291500"/>
    <n v="3956750"/>
    <m/>
    <s v="CUTTER 18 MM KENKO L-500 (BESAR)LSN147600"/>
  </r>
  <r>
    <x v="0"/>
    <s v=""/>
    <s v=""/>
    <m/>
    <m/>
    <m/>
    <s v=""/>
    <s v=""/>
    <s v=" "/>
    <s v=""/>
    <n v="50"/>
    <s v="PCS"/>
    <m/>
    <s v="ISOJKTD2S"/>
    <s v="TAPE CUTTER 2&quot; JOYKO TD-2S BESI"/>
    <s v="TAPE CUTTER 2&quot; JOYKO TD-2S BESI"/>
    <n v="17000"/>
    <n v="0.125"/>
    <m/>
    <n v="743750"/>
    <m/>
    <m/>
    <n v="133"/>
    <n v="5"/>
    <n v="850000"/>
    <n v="106250"/>
    <n v="0"/>
    <n v="106250"/>
    <n v="743750"/>
    <s v=""/>
    <m/>
    <s v="TAPE CUTTER 2&quot; JOYKO TD-2S BESIPCS17000"/>
  </r>
  <r>
    <x v="0"/>
    <s v=""/>
    <s v=""/>
    <m/>
    <m/>
    <m/>
    <s v=""/>
    <s v=""/>
    <s v=" "/>
    <s v=""/>
    <n v="20"/>
    <s v="GRS"/>
    <m/>
    <s v="CLIKEN105"/>
    <s v="BINDER CLIP KENKO NO. 105"/>
    <s v="BINDER CLIP KENKO NO. 105"/>
    <n v="28800"/>
    <n v="0.125"/>
    <m/>
    <n v="504000"/>
    <m/>
    <m/>
    <n v="133"/>
    <n v="5"/>
    <n v="576000"/>
    <n v="72000"/>
    <n v="0"/>
    <n v="72000"/>
    <n v="504000"/>
    <s v=""/>
    <m/>
    <s v="BINDER CLIP KENKO NO. 105GRS28800"/>
  </r>
  <r>
    <x v="0"/>
    <s v=""/>
    <s v=""/>
    <m/>
    <m/>
    <m/>
    <s v=""/>
    <s v=""/>
    <s v=" "/>
    <s v=""/>
    <n v="20"/>
    <s v="GRS"/>
    <m/>
    <s v="CLIKEN107"/>
    <s v="BINDER CLIP KENKO NO. 107"/>
    <s v="BINDER CLIP KENKO NO. 107"/>
    <n v="31800"/>
    <n v="0.125"/>
    <m/>
    <n v="556500"/>
    <m/>
    <m/>
    <n v="133"/>
    <n v="5"/>
    <n v="636000"/>
    <n v="79500"/>
    <n v="0"/>
    <n v="79500"/>
    <n v="556500"/>
    <s v=""/>
    <m/>
    <s v="BINDER CLIP KENKO NO. 107GRS31800"/>
  </r>
  <r>
    <x v="0"/>
    <s v=""/>
    <s v=""/>
    <m/>
    <m/>
    <m/>
    <s v=""/>
    <s v=""/>
    <s v=" "/>
    <s v=""/>
    <n v="20"/>
    <s v="GRS"/>
    <m/>
    <s v="CLIKEN111"/>
    <s v="BINDER CLIP KENKO NO. 111"/>
    <s v="BINDER CLIP KENKO NO. 111"/>
    <n v="49200"/>
    <n v="0.125"/>
    <m/>
    <n v="861000"/>
    <m/>
    <m/>
    <n v="133"/>
    <n v="5"/>
    <n v="984000"/>
    <n v="123000"/>
    <n v="0"/>
    <n v="123000"/>
    <n v="861000"/>
    <s v=""/>
    <m/>
    <s v="BINDER CLIP KENKO NO. 111GRS49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50024"/>
    <d v="2024-05-21T00:00:00"/>
    <n v="21"/>
    <s v="4957"/>
    <s v="ANUGERAH"/>
    <s v="AM 24050024"/>
    <s v="KO"/>
    <s v="KO 4957"/>
    <s v="CV PELITA JAYA (ANUGERAH SEJAHTERA) PURWOKERTO"/>
    <n v="48"/>
    <s v="LSN"/>
    <n v="2"/>
    <s v="PWKEN12WPANJANG"/>
    <s v="PENSIL WARNA KENKO CP-12F CLASSIC (PANJANG)"/>
    <s v="PENSIL WARNA KENKO CP-12F CLASSIC (PANJANG)"/>
    <n v="124200"/>
    <n v="0.13500000000000001"/>
    <m/>
    <n v="5156784"/>
    <s v="NOVI / CONDRO"/>
    <m/>
    <n v="139"/>
    <n v="2"/>
    <n v="5961600"/>
    <n v="804816"/>
    <n v="0"/>
    <n v="804816"/>
    <n v="5156784"/>
    <n v="7697808"/>
    <m/>
    <s v="PENSIL WARNA KENKO CP-12F CLASSIC (PANJANG)LSN124200"/>
  </r>
  <r>
    <x v="0"/>
    <s v=""/>
    <s v=""/>
    <m/>
    <m/>
    <m/>
    <s v=""/>
    <s v=""/>
    <s v=" "/>
    <s v=""/>
    <n v="24"/>
    <s v="LSN"/>
    <n v="2"/>
    <s v="PWJK12WPANJANG"/>
    <s v="PENSIL WARNA JOYKO CP-12PB (PANJANG)"/>
    <s v="PENSIL WARNA JOYKO CP-12PB (PANJANG)"/>
    <n v="122400"/>
    <n v="0.13500000000000001"/>
    <m/>
    <n v="2541024"/>
    <m/>
    <m/>
    <n v="139"/>
    <n v="2"/>
    <n v="2937600"/>
    <n v="396576"/>
    <n v="0"/>
    <n v="396576"/>
    <n v="2541024"/>
    <s v=""/>
    <m/>
    <s v="PENSIL WARNA JOYKO CP-12PB (PANJANG)LSN122400"/>
  </r>
  <r>
    <x v="25"/>
    <n v="24050025"/>
    <d v="2024-04-30T00:00:00"/>
    <n v="0"/>
    <s v="0"/>
    <n v="0"/>
    <s v="AM 24050025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6"/>
    <n v="24050026"/>
    <d v="2024-04-30T00:00:00"/>
    <n v="0"/>
    <s v="0"/>
    <n v="0"/>
    <s v="AM 24050026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7"/>
    <n v="24050027"/>
    <d v="2024-04-30T00:00:00"/>
    <n v="0"/>
    <s v="0"/>
    <n v="0"/>
    <s v="AM 24050027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28"/>
    <n v="24050028"/>
    <d v="2024-04-30T00:00:00"/>
    <n v="0"/>
    <s v="0"/>
    <n v="0"/>
    <s v="AM 24050028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50029"/>
    <d v="2024-05-24T00:00:00"/>
    <n v="24"/>
    <s v="4979"/>
    <s v="NIRMALA"/>
    <s v="AM 24050029"/>
    <s v="KO"/>
    <s v="KO 4979"/>
    <s v="CV SINAR CAHAYA NIRMALA BREBES"/>
    <n v="36"/>
    <s v="LSN"/>
    <m/>
    <s v="TIPKENKE01"/>
    <s v="CORRECTION FLUID KENKO KE-01"/>
    <s v="CORRECTION FLUID KENKO KE-01"/>
    <n v="56100"/>
    <n v="0.1"/>
    <m/>
    <n v="1817640"/>
    <s v="NOVI / CONDRO"/>
    <m/>
    <n v="150"/>
    <n v="1"/>
    <n v="2019600"/>
    <n v="201960"/>
    <n v="0"/>
    <n v="201960"/>
    <n v="1817640"/>
    <n v="1817640"/>
    <m/>
    <s v="CORRECTION FLUID KENKO KE-01LSN56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50030"/>
    <d v="2024-05-24T00:00:00"/>
    <n v="24"/>
    <s v="4970"/>
    <s v="REJOAGUNG"/>
    <s v="AM 24050030"/>
    <s v="G"/>
    <s v="G 4970"/>
    <s v="LILY JULIAWATI (REJO AGUNG) JOMBANG"/>
    <n v="72"/>
    <s v="PCS"/>
    <n v="1"/>
    <s v="BNJKM132"/>
    <s v="BINDER NOTE JOYKO B5-TSFC-M132 (FACULTY) - U"/>
    <s v="BINDER NOTE JOYKO B5-TSFC-M132 (FACULTY) - U"/>
    <n v="20400"/>
    <n v="0.125"/>
    <m/>
    <n v="1285200"/>
    <s v="NOVI / CONDRO"/>
    <m/>
    <n v="152"/>
    <n v="8"/>
    <n v="1468800"/>
    <n v="183600"/>
    <n v="0"/>
    <n v="183600"/>
    <n v="1285200"/>
    <n v="14500800"/>
    <m/>
    <s v="BINDER NOTE JOYKO B5-TSFC-M132 (FACULTY) - UPCS20400"/>
  </r>
  <r>
    <x v="0"/>
    <s v=""/>
    <s v=""/>
    <m/>
    <m/>
    <m/>
    <s v=""/>
    <s v=""/>
    <s v=" "/>
    <s v=""/>
    <n v="72"/>
    <s v="PCS"/>
    <n v="1"/>
    <s v="BNJKM114"/>
    <s v="BINDER NOTE JOYKO B5-TSIM-M114 (IMAGE) - U"/>
    <s v="BINDER NOTE JOYKO B5-TSIM-M114 (IMAGE) - U"/>
    <n v="20400"/>
    <n v="0.125"/>
    <m/>
    <n v="1285200"/>
    <m/>
    <m/>
    <n v="152"/>
    <n v="8"/>
    <n v="1468800"/>
    <n v="183600"/>
    <n v="0"/>
    <n v="183600"/>
    <n v="1285200"/>
    <s v=""/>
    <m/>
    <s v="BINDER NOTE JOYKO B5-TSIM-M114 (IMAGE) - UPCS20400"/>
  </r>
  <r>
    <x v="0"/>
    <s v=""/>
    <s v=""/>
    <m/>
    <m/>
    <m/>
    <s v=""/>
    <s v=""/>
    <s v=" "/>
    <s v=""/>
    <n v="72"/>
    <s v="PCS"/>
    <n v="1"/>
    <s v="BNJKM129"/>
    <s v="BINDER NOTE JOYKO B5-TSAC-M129 (ACADEMY)  - U"/>
    <s v="BINDER NOTE JOYKO B5-TSAC-M129 (ACADEMY)  - U"/>
    <n v="20400"/>
    <n v="0.125"/>
    <m/>
    <n v="1285200"/>
    <m/>
    <m/>
    <n v="152"/>
    <n v="8"/>
    <n v="1468800"/>
    <n v="183600"/>
    <n v="0"/>
    <n v="183600"/>
    <n v="1285200"/>
    <s v=""/>
    <m/>
    <s v="BINDER NOTE JOYKO B5-TSAC-M129 (ACADEMY)  - UPCS20400"/>
  </r>
  <r>
    <x v="0"/>
    <s v=""/>
    <s v=""/>
    <m/>
    <m/>
    <m/>
    <s v=""/>
    <s v=""/>
    <s v=" "/>
    <s v=""/>
    <n v="72"/>
    <s v="PCS"/>
    <n v="1"/>
    <s v="BNJK142"/>
    <s v="BINDER NOTE JOYKO B5-TSKD-142 (KINDNESS) - U"/>
    <s v="BINDER NOTE JOYKO B5-TSKD-142 (KINDNESS) - U"/>
    <n v="20400"/>
    <n v="0.125"/>
    <m/>
    <n v="1285200"/>
    <m/>
    <m/>
    <n v="152"/>
    <n v="8"/>
    <n v="1468800"/>
    <n v="183600"/>
    <n v="0"/>
    <n v="183600"/>
    <n v="1285200"/>
    <s v=""/>
    <m/>
    <s v="BINDER NOTE JOYKO B5-TSKD-142 (KINDNESS) - UPCS20400"/>
  </r>
  <r>
    <x v="0"/>
    <s v=""/>
    <s v=""/>
    <m/>
    <m/>
    <m/>
    <s v=""/>
    <s v=""/>
    <s v=" "/>
    <s v=""/>
    <n v="72"/>
    <s v="PCS"/>
    <n v="1"/>
    <s v="BNJK145"/>
    <s v="BINDER NOTE JOYKO B5-TSAT-145 -U"/>
    <s v="BINDER NOTE JOYKO B5-TSAT-145 -U"/>
    <n v="20400"/>
    <n v="0.125"/>
    <m/>
    <n v="1285200"/>
    <m/>
    <m/>
    <n v="152"/>
    <n v="8"/>
    <n v="1468800"/>
    <n v="183600"/>
    <n v="0"/>
    <n v="183600"/>
    <n v="1285200"/>
    <s v=""/>
    <m/>
    <s v="BINDER NOTE JOYKO B5-TSAT-145 -UPCS20400"/>
  </r>
  <r>
    <x v="0"/>
    <s v=""/>
    <s v=""/>
    <m/>
    <m/>
    <m/>
    <s v=""/>
    <s v=""/>
    <s v=" "/>
    <s v=""/>
    <n v="96"/>
    <s v="LSN"/>
    <n v="1"/>
    <s v="PENTG340BIRU"/>
    <s v="GEL PEN TIZO 1.0 MM TG-340BI BIRU"/>
    <s v="GEL PEN TIZO 1.0 MM TG-340BI BIRU"/>
    <n v="33000"/>
    <m/>
    <m/>
    <n v="3168000"/>
    <m/>
    <m/>
    <n v="152"/>
    <n v="8"/>
    <n v="3168000"/>
    <n v="0"/>
    <n v="0"/>
    <n v="0"/>
    <n v="3168000"/>
    <s v=""/>
    <m/>
    <s v="GEL PEN TIZO 1.0 MM TG-340BI BIRULSN33000"/>
  </r>
  <r>
    <x v="0"/>
    <s v=""/>
    <s v=""/>
    <m/>
    <m/>
    <m/>
    <s v=""/>
    <s v=""/>
    <s v=" "/>
    <s v=""/>
    <n v="48"/>
    <s v="LSN"/>
    <n v="1"/>
    <s v="CLIKEN3100"/>
    <s v="PAPER CLIP WARNA KENKO 3100"/>
    <s v="PAPER CLIP WARNA KENKO 3100"/>
    <n v="41400"/>
    <n v="0.125"/>
    <m/>
    <n v="1738800"/>
    <m/>
    <m/>
    <n v="152"/>
    <n v="8"/>
    <n v="1987200"/>
    <n v="248400"/>
    <n v="0"/>
    <n v="248400"/>
    <n v="1738800"/>
    <s v=""/>
    <m/>
    <s v="PAPER CLIP WARNA KENKO 3100LSN41400"/>
  </r>
  <r>
    <x v="0"/>
    <s v=""/>
    <s v=""/>
    <m/>
    <m/>
    <m/>
    <s v=""/>
    <s v=""/>
    <s v=" "/>
    <s v=""/>
    <n v="96"/>
    <s v="LSN"/>
    <n v="1"/>
    <s v="PENTG340HITAM"/>
    <s v="GEL PEN TIZO 1.0 MM TG-340 HITAM"/>
    <s v="GEL PEN TIZO 1.0 MM TG-340 HITAM"/>
    <n v="33000"/>
    <m/>
    <m/>
    <n v="3168000"/>
    <m/>
    <m/>
    <n v="152"/>
    <n v="8"/>
    <n v="3168000"/>
    <n v="0"/>
    <n v="0"/>
    <n v="0"/>
    <n v="3168000"/>
    <s v=""/>
    <m/>
    <s v="GEL PEN TIZO 1.0 MM TG-340 HITAMLSN3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50031"/>
    <d v="2024-05-25T00:00:00"/>
    <n v="25"/>
    <s v="1608"/>
    <s v="luwespati"/>
    <s v="AM 24050031"/>
    <s v="A"/>
    <s v="A 1608"/>
    <s v="CV.BENGAWAN MULTI TRENDING (LUWES) PATI"/>
    <n v="12"/>
    <s v="LSN"/>
    <m/>
    <s v="pentz501"/>
    <s v="GEL INK TIANJIAO TZ-501"/>
    <s v="GEL INK TIANJIAO TZ-501"/>
    <n v="34000"/>
    <m/>
    <m/>
    <n v="408000"/>
    <s v="RISMA / CONDRO"/>
    <m/>
    <n v="161"/>
    <n v="1"/>
    <n v="408000"/>
    <n v="0"/>
    <n v="0"/>
    <n v="0"/>
    <n v="408000"/>
    <n v="408000"/>
    <m/>
    <s v="GEL INK TIANJIAO TZ-501lsn34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50032"/>
    <d v="2024-04-30T00:00:00"/>
    <n v="0"/>
    <s v="0"/>
    <n v="0"/>
    <s v="AM 24050032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33"/>
    <n v="24050033"/>
    <d v="2024-04-30T00:00:00"/>
    <n v="0"/>
    <s v="0"/>
    <n v="0"/>
    <s v="AM 24050033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34"/>
    <n v="24050034"/>
    <d v="2024-04-30T00:00:00"/>
    <n v="0"/>
    <s v="0"/>
    <n v="0"/>
    <s v="AM 24050034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50035"/>
    <d v="2024-05-27T00:00:00"/>
    <n v="27"/>
    <s v="5000"/>
    <s v="REJOAGUNG"/>
    <s v="AM 24050035"/>
    <s v="G"/>
    <s v="G 5000"/>
    <s v="LILY JULIAWATI (REJO AGUNG) JOMBANG"/>
    <n v="144"/>
    <s v="LSN"/>
    <n v="1"/>
    <s v="PENKENHITECH028HITAM"/>
    <s v="GEL PEN KENKO HI-TECH-H 0.28 MM HITAM"/>
    <s v="GEL PEN KENKO HI-TECH-H 0.28 MM HITAM"/>
    <n v="39000"/>
    <n v="0.125"/>
    <m/>
    <n v="4914000"/>
    <s v="NOVI / CONDRO"/>
    <m/>
    <n v="168"/>
    <n v="1"/>
    <n v="5616000"/>
    <n v="702000"/>
    <n v="0"/>
    <n v="702000"/>
    <n v="4914000"/>
    <n v="4914000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50036"/>
    <d v="2024-04-30T00:00:00"/>
    <n v="0"/>
    <s v="0"/>
    <n v="0"/>
    <s v="AM 24050036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50037"/>
    <d v="2024-04-30T00:00:00"/>
    <n v="0"/>
    <s v="0"/>
    <n v="0"/>
    <s v="AM 24050037"/>
    <n v="0"/>
    <s v=""/>
    <s v="0 0 0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50038"/>
    <d v="2024-05-29T00:00:00"/>
    <n v="29"/>
    <s v="4839"/>
    <s v="DHIAN"/>
    <s v="AM 24050038"/>
    <s v="A"/>
    <s v="A 4839"/>
    <s v="CV GITA CAHYA ( DHIAN ) BANJARNEGARA"/>
    <n v="12"/>
    <s v="LSN"/>
    <m/>
    <s v="PENKENK80"/>
    <e v="#N/A"/>
    <s v="BALLPEN KENKO K-80"/>
    <n v="28200"/>
    <n v="0.1"/>
    <m/>
    <n v="304560"/>
    <s v="NOVI / CONDRO"/>
    <m/>
    <n v="177"/>
    <n v="5"/>
    <n v="338400"/>
    <n v="33840"/>
    <n v="0"/>
    <n v="33840"/>
    <n v="304560"/>
    <n v="1514160"/>
    <m/>
    <s v="BALLPEN KENKO K-80LSN28200"/>
  </r>
  <r>
    <x v="0"/>
    <s v=""/>
    <s v=""/>
    <m/>
    <m/>
    <m/>
    <s v=""/>
    <s v=""/>
    <s v=" "/>
    <s v=""/>
    <n v="36"/>
    <s v="PCS"/>
    <m/>
    <s v="PWKEN"/>
    <e v="#N/A"/>
    <s v="PENSIL WARNA KENKO BI-COLOR NMCP-12FBC "/>
    <n v="15000"/>
    <n v="0.1"/>
    <m/>
    <n v="486000"/>
    <m/>
    <m/>
    <n v="177"/>
    <n v="5"/>
    <n v="540000"/>
    <n v="54000"/>
    <n v="0"/>
    <n v="54000"/>
    <n v="486000"/>
    <s v=""/>
    <m/>
    <s v="PENSIL WARNA KENKO BI-COLOR NMCP-12FBC PCS15000"/>
  </r>
  <r>
    <x v="0"/>
    <s v=""/>
    <s v=""/>
    <m/>
    <m/>
    <m/>
    <s v=""/>
    <s v=""/>
    <s v=" "/>
    <s v=""/>
    <n v="12"/>
    <s v="PCS"/>
    <m/>
    <s v="PENKENCP24FBC"/>
    <e v="#N/A"/>
    <s v="PENSIL WARNA KENKO BI-COLOR CP-24FBC "/>
    <n v="24500"/>
    <n v="0.1"/>
    <m/>
    <n v="264600"/>
    <m/>
    <m/>
    <n v="177"/>
    <n v="5"/>
    <n v="294000"/>
    <n v="29400"/>
    <n v="0"/>
    <n v="29400"/>
    <n v="264600"/>
    <s v=""/>
    <m/>
    <s v="PENSIL WARNA KENKO BI-COLOR CP-24FBC PCS24500"/>
  </r>
  <r>
    <x v="0"/>
    <s v=""/>
    <s v=""/>
    <m/>
    <m/>
    <m/>
    <s v=""/>
    <s v=""/>
    <s v=" "/>
    <s v=""/>
    <n v="24"/>
    <s v="PCS"/>
    <m/>
    <s v="PENKENNCP12C"/>
    <e v="#N/A"/>
    <s v="PENSIL WARNA KENKO NCP-12C"/>
    <n v="13000"/>
    <n v="0.1"/>
    <m/>
    <n v="280800"/>
    <m/>
    <m/>
    <n v="177"/>
    <n v="5"/>
    <n v="312000"/>
    <n v="31200"/>
    <n v="0"/>
    <n v="31200"/>
    <n v="280800"/>
    <s v=""/>
    <m/>
    <s v="PENSIL WARNA KENKO NCP-12CPCS13000"/>
  </r>
  <r>
    <x v="0"/>
    <s v=""/>
    <s v=""/>
    <m/>
    <m/>
    <m/>
    <s v=""/>
    <s v=""/>
    <s v=" "/>
    <s v=""/>
    <n v="10"/>
    <s v="LSN"/>
    <m/>
    <s v="LEMKENLG35"/>
    <s v="LEM CAIR 35 ML KENKO LG-35"/>
    <s v="LEM CAIR 35 ML KENKO LG-35"/>
    <n v="19800"/>
    <n v="0.1"/>
    <m/>
    <n v="178200"/>
    <m/>
    <m/>
    <n v="177"/>
    <n v="5"/>
    <n v="198000"/>
    <n v="19800"/>
    <n v="0"/>
    <n v="19800"/>
    <n v="178200"/>
    <s v=""/>
    <m/>
    <s v="LEM CAIR 35 ML KENKO LG-35LSN1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44" firstHeaderRow="1" firstDataRow="1" firstDataCol="1"/>
  <pivotFields count="32">
    <pivotField axis="axisRow" showAll="0" sortType="ascending">
      <items count="104">
        <item m="1" x="39"/>
        <item x="1"/>
        <item m="1" x="40"/>
        <item x="2"/>
        <item m="1" x="41"/>
        <item m="1" x="82"/>
        <item x="3"/>
        <item m="1" x="42"/>
        <item m="1" x="83"/>
        <item x="4"/>
        <item m="1" x="43"/>
        <item m="1" x="84"/>
        <item x="5"/>
        <item m="1" x="44"/>
        <item m="1" x="85"/>
        <item x="6"/>
        <item m="1" x="45"/>
        <item m="1" x="86"/>
        <item x="7"/>
        <item m="1" x="46"/>
        <item m="1" x="87"/>
        <item x="8"/>
        <item m="1" x="47"/>
        <item m="1" x="88"/>
        <item x="9"/>
        <item m="1" x="48"/>
        <item m="1" x="89"/>
        <item x="10"/>
        <item m="1" x="49"/>
        <item m="1" x="90"/>
        <item x="11"/>
        <item m="1" x="50"/>
        <item m="1" x="101"/>
        <item m="1" x="91"/>
        <item x="12"/>
        <item m="1" x="51"/>
        <item m="1" x="102"/>
        <item m="1" x="92"/>
        <item x="13"/>
        <item m="1" x="52"/>
        <item m="1" x="100"/>
        <item m="1" x="93"/>
        <item x="14"/>
        <item m="1" x="53"/>
        <item m="1" x="94"/>
        <item x="15"/>
        <item m="1" x="54"/>
        <item x="16"/>
        <item m="1" x="55"/>
        <item x="17"/>
        <item m="1" x="56"/>
        <item x="18"/>
        <item m="1" x="57"/>
        <item m="1" x="95"/>
        <item m="1" x="73"/>
        <item m="1" x="74"/>
        <item x="19"/>
        <item m="1" x="58"/>
        <item x="20"/>
        <item m="1" x="59"/>
        <item x="21"/>
        <item m="1" x="60"/>
        <item x="22"/>
        <item m="1" x="61"/>
        <item x="23"/>
        <item m="1" x="62"/>
        <item m="1" x="75"/>
        <item m="1" x="96"/>
        <item m="1" x="76"/>
        <item x="24"/>
        <item m="1" x="63"/>
        <item x="25"/>
        <item x="26"/>
        <item x="27"/>
        <item x="28"/>
        <item m="1" x="64"/>
        <item m="1" x="77"/>
        <item m="1" x="78"/>
        <item x="29"/>
        <item m="1" x="65"/>
        <item x="30"/>
        <item m="1" x="66"/>
        <item m="1" x="97"/>
        <item m="1" x="79"/>
        <item m="1" x="98"/>
        <item m="1" x="99"/>
        <item x="31"/>
        <item m="1" x="67"/>
        <item m="1" x="80"/>
        <item x="32"/>
        <item x="33"/>
        <item x="34"/>
        <item m="1" x="68"/>
        <item x="35"/>
        <item m="1" x="69"/>
        <item x="36"/>
        <item m="1" x="70"/>
        <item x="37"/>
        <item m="1" x="71"/>
        <item m="1" x="81"/>
        <item x="38"/>
        <item m="1" x="72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0">
    <i>
      <x v="1"/>
    </i>
    <i>
      <x v="3"/>
    </i>
    <i>
      <x v="6"/>
    </i>
    <i>
      <x v="9"/>
    </i>
    <i>
      <x v="12"/>
    </i>
    <i>
      <x v="15"/>
    </i>
    <i>
      <x v="18"/>
    </i>
    <i>
      <x v="21"/>
    </i>
    <i>
      <x v="24"/>
    </i>
    <i>
      <x v="27"/>
    </i>
    <i>
      <x v="30"/>
    </i>
    <i>
      <x v="34"/>
    </i>
    <i>
      <x v="38"/>
    </i>
    <i>
      <x v="42"/>
    </i>
    <i>
      <x v="45"/>
    </i>
    <i>
      <x v="47"/>
    </i>
    <i>
      <x v="49"/>
    </i>
    <i>
      <x v="51"/>
    </i>
    <i>
      <x v="56"/>
    </i>
    <i>
      <x v="58"/>
    </i>
    <i>
      <x v="60"/>
    </i>
    <i>
      <x v="62"/>
    </i>
    <i>
      <x v="64"/>
    </i>
    <i>
      <x v="69"/>
    </i>
    <i>
      <x v="71"/>
    </i>
    <i>
      <x v="72"/>
    </i>
    <i>
      <x v="73"/>
    </i>
    <i>
      <x v="74"/>
    </i>
    <i>
      <x v="78"/>
    </i>
    <i>
      <x v="80"/>
    </i>
    <i>
      <x v="86"/>
    </i>
    <i>
      <x v="89"/>
    </i>
    <i>
      <x v="90"/>
    </i>
    <i>
      <x v="91"/>
    </i>
    <i>
      <x v="93"/>
    </i>
    <i>
      <x v="95"/>
    </i>
    <i>
      <x v="97"/>
    </i>
    <i>
      <x v="100"/>
    </i>
    <i>
      <x v="102"/>
    </i>
    <i t="grand">
      <x/>
    </i>
  </rowItems>
  <colItems count="1">
    <i/>
  </colItems>
  <formats count="5">
    <format dxfId="168">
      <pivotArea field="0" type="button" dataOnly="0" labelOnly="1" outline="0" axis="axisRow" fieldPosition="0"/>
    </format>
    <format dxfId="167">
      <pivotArea type="all" dataOnly="0" outline="0" fieldPosition="0"/>
    </format>
    <format dxfId="166">
      <pivotArea field="0" type="button" dataOnly="0" labelOnly="1" outline="0" axis="axisRow" fieldPosition="0"/>
    </format>
    <format dxfId="165">
      <pivotArea dataOnly="0" labelOnly="1" fieldPosition="0">
        <references count="1">
          <reference field="0" count="0"/>
        </references>
      </pivotArea>
    </format>
    <format dxfId="164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F588" totalsRowCount="1" headerRowDxfId="171" dataDxfId="170" totalsRowDxfId="169">
  <autoFilter ref="A2:AF587" xr:uid="{00000000-0009-0000-0100-000001000000}"/>
  <tableColumns count="32">
    <tableColumn id="16" xr3:uid="{00000000-0010-0000-0000-000010000000}" name="//" dataDxfId="124" totalsRowDxfId="31">
      <calculatedColumnFormula>IF(Table1[[#This Row],[No. Invoice :]]="","",ROW())</calculatedColumnFormula>
    </tableColumn>
    <tableColumn id="18" xr3:uid="{00000000-0010-0000-0000-000012000000}" name="h_No. Invoice :" dataDxfId="123" totalsRowDxfId="30">
      <calculatedColumnFormula>IF(Table1[[#This Row],[Column3]]="","",B$1+COUNT(INDIRECT("B$2:B"&amp;ROW()-1)))</calculatedColumnFormula>
    </tableColumn>
    <tableColumn id="2" xr3:uid="{00000000-0010-0000-0000-000002000000}" name="Tgl Invoice :" dataDxfId="122" totalsRowDxfId="29">
      <calculatedColumnFormula>IF(Table1[[#This Row],[Column2]]="","",Table1[[#This Row],[Column2]]+C$1-1)</calculatedColumnFormula>
    </tableColumn>
    <tableColumn id="32" xr3:uid="{00000000-0010-0000-0000-000020000000}" name="Column2" dataDxfId="121" totalsRowDxfId="28"/>
    <tableColumn id="19" xr3:uid="{00000000-0010-0000-0000-000013000000}" name="Column4" dataDxfId="120" totalsRowDxfId="27"/>
    <tableColumn id="20" xr3:uid="{00000000-0010-0000-0000-000014000000}" name="Column5" dataDxfId="119" totalsRowDxfId="26"/>
    <tableColumn id="1" xr3:uid="{00000000-0010-0000-0000-000001000000}" name="No. Invoice :" dataDxfId="118" totalsRowDxfId="25">
      <calculatedColumnFormula>IF(Table1[[#This Row],[h_No. Invoice :]]="","",CONCATENATE("AM"," ",Table1[[#This Row],[h_No. Invoice :]]))</calculatedColumnFormula>
    </tableColumn>
    <tableColumn id="17" xr3:uid="{00000000-0010-0000-0000-000011000000}" name="Column3" dataDxfId="117" totalsRowDxfId="24">
      <calculatedColumnFormula>IF(Table1[[#This Row],[Column5]]="","",INDEX(Table2[Column1],MATCH(Table1[[#This Row],[Column5]],Table2[a],0)))</calculatedColumnFormula>
    </tableColumn>
    <tableColumn id="3" xr3:uid="{00000000-0010-0000-0000-000003000000}" name="Kode Sales :" dataDxfId="116" totalsRowDxfId="23">
      <calculatedColumnFormula>IF(Table1[[#This Row],[Column3]]=0,"",CONCATENATE(UPPER(Table1[[#This Row],[Column3]])," ",Table1[[#This Row],[Column4]]))</calculatedColumnFormula>
    </tableColumn>
    <tableColumn id="4" xr3:uid="{00000000-0010-0000-0000-000004000000}" name="Toko" dataDxfId="115" totalsRowDxfId="22">
      <calculatedColumnFormula>IF(Table1[[#This Row],[Column5]]="","",INDEX(Table2[e],IF(Table1[[#This Row],[Column5]]="","",MATCH(Table1[[#This Row],[Column5]],Table2[a],0)),))</calculatedColumnFormula>
    </tableColumn>
    <tableColumn id="5" xr3:uid="{00000000-0010-0000-0000-000005000000}" name="Qty" dataDxfId="114" totalsRowDxfId="21"/>
    <tableColumn id="6" xr3:uid="{00000000-0010-0000-0000-000006000000}" name="Unit" dataDxfId="113" totalsRowDxfId="20"/>
    <tableColumn id="7" xr3:uid="{00000000-0010-0000-0000-000007000000}" name="C" dataDxfId="112" totalsRowDxfId="19"/>
    <tableColumn id="8" xr3:uid="{00000000-0010-0000-0000-000008000000}" name="h_Item Description" dataDxfId="111" totalsRowDxfId="18"/>
    <tableColumn id="10" xr3:uid="{00000000-0010-0000-0000-00000A000000}" name="Column1" dataDxfId="110" totalsRowDxfId="17">
      <calculatedColumnFormula>IF(Table1[[#This Row],[h_Item Description]]="","",INDEX([1]!db[NB PAJAK],MATCH(Table1[[#This Row],[h_Item Description]],[1]!db[kode],0)))</calculatedColumnFormula>
    </tableColumn>
    <tableColumn id="9" xr3:uid="{00000000-0010-0000-0000-000009000000}" name="Column12" dataDxfId="109" totalsRowDxfId="16"/>
    <tableColumn id="11" xr3:uid="{00000000-0010-0000-0000-00000B000000}" name="Column13" dataDxfId="108" totalsRowDxfId="15"/>
    <tableColumn id="12" xr3:uid="{00000000-0010-0000-0000-00000C000000}" name="Column14" dataDxfId="107" totalsRowDxfId="14"/>
    <tableColumn id="13" xr3:uid="{00000000-0010-0000-0000-00000D000000}" name="Column15" dataDxfId="106" totalsRowDxfId="13"/>
    <tableColumn id="23" xr3:uid="{00000000-0010-0000-0000-000017000000}" name="Amount" dataDxfId="105" totalsRowDxfId="12">
      <calculatedColumnFormula>Table1[[#This Row],[h_hargasetelahdiskon]]</calculatedColumnFormula>
    </tableColumn>
    <tableColumn id="14" xr3:uid="{00000000-0010-0000-0000-00000E000000}" name="pembuat nota :" dataDxfId="104" totalsRowDxfId="11"/>
    <tableColumn id="15" xr3:uid="{00000000-0010-0000-0000-00000F000000}" name="edited :" dataDxfId="103" totalsRowDxfId="10"/>
    <tableColumn id="21" xr3:uid="{00000000-0010-0000-0000-000015000000}" name="h_id" dataDxfId="102" totalsRowDxfId="9">
      <calculatedColumnFormula>IF(Table1[[#This Row],[Column12]]="","",IF(Table1[[#This Row],[//]]="",INDIRECT(ADDRESS(ROW()-1,COLUMN())),Table1[[#This Row],[//]]))</calculatedColumnFormula>
    </tableColumn>
    <tableColumn id="22" xr3:uid="{00000000-0010-0000-0000-000016000000}" name="h_jumlahbarang" dataDxfId="101" totalsRowDxfId="8">
      <calculatedColumnFormula>IF(Table1[[#This Row],[h_id]]="","",COUNTIF(Table1[h_id],Table1[[#This Row],[h_id]]))</calculatedColumnFormula>
    </tableColumn>
    <tableColumn id="24" xr3:uid="{00000000-0010-0000-0000-000018000000}" name="h_hargasebelumdiskon" dataDxfId="100" totalsRowDxfId="7">
      <calculatedColumnFormula>IF(Table1[[#This Row],[Column12]]="","",Table1[[#This Row],[Qty]]*Table1[[#This Row],[Column13]])</calculatedColumnFormula>
    </tableColumn>
    <tableColumn id="31" xr3:uid="{00000000-0010-0000-0000-00001F000000}" name="h_disc 1" dataDxfId="99" totalsRowDxfId="6">
      <calculatedColumnFormula>IF(Table1[[#This Row],[h_hargasebelumdiskon]]="","",IF(Table1[[#This Row],[Column14]]="",0,Table1[[#This Row],[h_hargasebelumdiskon]]*Table1[[#This Row],[Column14]]))</calculatedColumnFormula>
    </tableColumn>
    <tableColumn id="30" xr3:uid="{00000000-0010-0000-0000-00001E000000}" name="h_disc 2" dataDxfId="98" totalsRowDxfId="5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xr3:uid="{00000000-0010-0000-0000-000019000000}" name="h_diskon" dataDxfId="97" totalsRowDxfId="4">
      <calculatedColumnFormula>IF(Table1[[#This Row],[Column12]]="","",Table1[[#This Row],[h_disc 1]]+Table1[[#This Row],[h_disc 2]])</calculatedColumnFormula>
    </tableColumn>
    <tableColumn id="26" xr3:uid="{00000000-0010-0000-0000-00001A000000}" name="h_hargasetelahdiskon" dataDxfId="96" totalsRowDxfId="3">
      <calculatedColumnFormula>IF(Table1[[#This Row],[Column12]]="","",Table1[[#This Row],[h_hargasebelumdiskon]]-Table1[[#This Row],[h_diskon]])</calculatedColumnFormula>
    </tableColumn>
    <tableColumn id="27" xr3:uid="{00000000-0010-0000-0000-00001B000000}" name="Total Invoice" dataDxfId="95" totalsRowDxfId="2">
      <calculatedColumnFormula>IF(Table1[[#This Row],[//]]="","",SUMIF(Table1[h_id],Table1[[#This Row],[h_id]],Table1[h_hargasetelahdiskon]))</calculatedColumnFormula>
    </tableColumn>
    <tableColumn id="28" xr3:uid="{00000000-0010-0000-0000-00001C000000}" name="KETERANGAN" dataDxfId="94" totalsRowDxfId="1"/>
    <tableColumn id="29" xr3:uid="{00000000-0010-0000-0000-00001D000000}" name="H_A1" dataDxfId="93" totalsRowDxfId="0">
      <calculatedColumnFormula>Table1[[#This Row],[Column12]]&amp;Table1[[#This Row],[Unit]]&amp;Table1[[#This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ajak" displayName="pajak" ref="D4:P64" totalsRowCount="1" headerRowDxfId="163" dataDxfId="162" totalsRowDxfId="161">
  <autoFilter ref="D4:P63" xr:uid="{00000000-0009-0000-0100-000003000000}"/>
  <tableColumns count="13">
    <tableColumn id="1" xr3:uid="{00000000-0010-0000-0100-000001000000}" name="//" totalsRowLabel="Total" dataDxfId="160" totalsRowDxfId="159">
      <calculatedColumnFormula>IF(ROW()-(COUNTBLANK($D$1:$D$3)+1)&lt;=jNota,A5,"")</calculatedColumnFormula>
    </tableColumn>
    <tableColumn id="2" xr3:uid="{00000000-0010-0000-0100-000002000000}" name="No. Invoice :" dataDxfId="158" totalsRowDxfId="157">
      <calculatedColumnFormula>IF(pajak[[#This Row],[//]]="","",INDEX(Table1[No. Invoice :],pajak[[#This Row],[//]]-offset))</calculatedColumnFormula>
    </tableColumn>
    <tableColumn id="3" xr3:uid="{00000000-0010-0000-0100-000003000000}" name="Tgl Invoice :" dataDxfId="156" totalsRowDxfId="155">
      <calculatedColumnFormula>IF(pajak[[#This Row],[//]]="","",INDEX(Table1[Tgl Invoice :],pajak[[#This Row],[//]]-offset))</calculatedColumnFormula>
    </tableColumn>
    <tableColumn id="4" xr3:uid="{00000000-0010-0000-0100-000004000000}" name="Kode Sales :" dataDxfId="154" totalsRowDxfId="153">
      <calculatedColumnFormula>IF(pajak[[#This Row],[//]]="","",INDEX(Table1[Kode Sales :],pajak[[#This Row],[//]]-offset))</calculatedColumnFormula>
    </tableColumn>
    <tableColumn id="5" xr3:uid="{00000000-0010-0000-0100-000005000000}" name="Toko" dataDxfId="152" totalsRowDxfId="151">
      <calculatedColumnFormula>IF(pajak[[#This Row],[//]]="","",INDEX(Table1[Toko],pajak[[#This Row],[//]]-offset))</calculatedColumnFormula>
    </tableColumn>
    <tableColumn id="6" xr3:uid="{00000000-0010-0000-0100-000006000000}" name="Total" totalsRowFunction="sum" dataDxfId="150" totalsRowDxfId="149">
      <calculatedColumnFormula>IF(pajak[[#This Row],[//]]="","",SUMIF(Table1[h_id],pajak[[#This Row],[//]],Table1[h_hargasebelumdiskon]))</calculatedColumnFormula>
    </tableColumn>
    <tableColumn id="7" xr3:uid="{00000000-0010-0000-0100-000007000000}" name="Diskon" totalsRowFunction="sum" dataDxfId="148" totalsRowDxfId="147">
      <calculatedColumnFormula>IF(pajak[[#This Row],[//]]="","",SUMIF(Table1[h_id],pajak[[#This Row],[//]],Table1[h_diskon]))</calculatedColumnFormula>
    </tableColumn>
    <tableColumn id="8" xr3:uid="{00000000-0010-0000-0100-000008000000}" name="Sub Total" totalsRowFunction="sum" dataDxfId="146" totalsRowDxfId="145">
      <calculatedColumnFormula>IF(pajak[[#This Row],[//]]="","",SUMIF(Table1[h_id],pajak[[#This Row],[//]],Table1[h_hargasetelahdiskon]))</calculatedColumnFormula>
    </tableColumn>
    <tableColumn id="9" xr3:uid="{00000000-0010-0000-0100-000009000000}" name="PPN 11%" totalsRowFunction="sum" dataDxfId="144" totalsRowDxfId="143">
      <calculatedColumnFormula>IF(pajak[[#This Row],[//]]="","",pajak[[#This Row],[Sub Total]]/1.11*11%)</calculatedColumnFormula>
    </tableColumn>
    <tableColumn id="10" xr3:uid="{00000000-0010-0000-0100-00000A000000}" name="Total Invoice" totalsRowFunction="sum" dataDxfId="142" totalsRowDxfId="141">
      <calculatedColumnFormula>pajak[[#This Row],[Sub Total]]</calculatedColumnFormula>
    </tableColumn>
    <tableColumn id="14" xr3:uid="{00000000-0010-0000-0100-00000E000000}" name="pembuat nota" dataDxfId="140" totalsRowDxfId="139">
      <calculatedColumnFormula>IF(pajak[[#This Row],[//]]="","",INDEX(Table1[pembuat nota :],pajak[[#This Row],[//]]-offset))</calculatedColumnFormula>
    </tableColumn>
    <tableColumn id="15" xr3:uid="{00000000-0010-0000-0100-00000F000000}" name="edited" dataDxfId="138" totalsRowDxfId="137">
      <calculatedColumnFormula>IF(pajak[[#This Row],[//]]="","",IF(INDEX(Table1[edited :],pajak[[#This Row],[//]]-offset)="","",INDEX(Table1[edited :],pajak[[#This Row],[//]]-offset)))</calculatedColumnFormula>
    </tableColumn>
    <tableColumn id="12" xr3:uid="{00000000-0010-0000-0100-00000C000000}" name="4" dataDxfId="136" totalsRowDxfId="13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R4:X63" totalsRowShown="0" headerRowDxfId="134" dataDxfId="133">
  <autoFilter ref="R4:X63" xr:uid="{00000000-0009-0000-0100-000004000000}"/>
  <tableColumns count="7">
    <tableColumn id="8" xr3:uid="{00000000-0010-0000-0200-000008000000}" name="AM" dataDxfId="132">
      <calculatedColumnFormula>Table4[[#Headers],[AM]]</calculatedColumnFormula>
    </tableColumn>
    <tableColumn id="2" xr3:uid="{00000000-0010-0000-0200-000002000000}" name="---" dataDxfId="131">
      <calculatedColumnFormula>S$3+ROW()-5</calculatedColumnFormula>
    </tableColumn>
    <tableColumn id="7" xr3:uid="{00000000-0010-0000-0200-000007000000}" name="No. Invoice :" dataDxfId="130">
      <calculatedColumnFormula>IF(Table4[[#This Row],[AM]]&amp;" "&amp;Table4[[#This Row],[---]]=INDIRECT("pajak[@["&amp;Table4[#Headers]&amp;"]]"),MATCH(Table4[[#This Row],[---]],INDIRECT($3:$3),0))</calculatedColumnFormula>
    </tableColumn>
    <tableColumn id="9" xr3:uid="{00000000-0010-0000-0200-000009000000}" name="Kode Sales :" dataDxfId="129">
      <calculatedColumnFormula>IF((INDEX(INDIRECT($3:$3),Table4[[#This Row],[No. Invoice :]]+$2:$2))=INDIRECT("pajak[@["&amp;Table4[#Headers]&amp;"]]"),1)</calculatedColumnFormula>
    </tableColumn>
    <tableColumn id="6" xr3:uid="{00000000-0010-0000-0200-000006000000}" name="Tgl Invoice :" dataDxfId="128">
      <calculatedColumnFormula>IF((INDEX(INDIRECT($3:$3),Table4[[#This Row],[No. Invoice :]]+$2:$2))=INDIRECT("pajak[@["&amp;Table4[#Headers]&amp;"]]"),1)</calculatedColumnFormula>
    </tableColumn>
    <tableColumn id="4" xr3:uid="{00000000-0010-0000-0200-000004000000}" name="Total Invoice" dataDxfId="127">
      <calculatedColumnFormula>IF((INDEX(INDIRECT($3:$3),Table4[[#This Row],[No. Invoice :]]+$2:$2))=INDIRECT("pajak[@["&amp;Table4[#Headers]&amp;"]]"),1)</calculatedColumnFormula>
    </tableColumn>
    <tableColumn id="3" xr3:uid="{00000000-0010-0000-0200-000003000000}" name="pembuat nota" dataDxfId="126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2:F32" totalsRowShown="0">
  <autoFilter ref="A2:F32" xr:uid="{00000000-0009-0000-0100-000002000000}"/>
  <sortState xmlns:xlrd2="http://schemas.microsoft.com/office/spreadsheetml/2017/richdata2" ref="A3:F23">
    <sortCondition ref="A2:A23"/>
  </sortState>
  <tableColumns count="6">
    <tableColumn id="1" xr3:uid="{00000000-0010-0000-0300-000001000000}" name="a"/>
    <tableColumn id="2" xr3:uid="{00000000-0010-0000-0300-000002000000}" name="b"/>
    <tableColumn id="3" xr3:uid="{00000000-0010-0000-0300-000003000000}" name="c"/>
    <tableColumn id="4" xr3:uid="{00000000-0010-0000-0300-000004000000}" name="d"/>
    <tableColumn id="5" xr3:uid="{00000000-0010-0000-0300-000005000000}" name="e" dataDxfId="125">
      <calculatedColumnFormula>CONCATENATE(Table2[[#This Row],[b]],IF(Table2[[#This Row],[c]]=""," ",CONCATENATE(" ",Table2[[#This Row],[c]]," ")),Table2[[#This Row],[d]])</calculatedColumnFormula>
    </tableColumn>
    <tableColumn id="6" xr3:uid="{00000000-0010-0000-0300-000006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88"/>
  <sheetViews>
    <sheetView tabSelected="1" topLeftCell="B148" zoomScale="85" zoomScaleNormal="85" workbookViewId="0">
      <selection activeCell="G161" sqref="G161"/>
    </sheetView>
  </sheetViews>
  <sheetFormatPr defaultRowHeight="15"/>
  <cols>
    <col min="1" max="1" width="4.140625" style="234" customWidth="1"/>
    <col min="2" max="2" width="9.28515625" style="234" customWidth="1"/>
    <col min="3" max="3" width="10.5703125" style="235" customWidth="1"/>
    <col min="4" max="4" width="5.42578125" style="242" customWidth="1"/>
    <col min="5" max="5" width="5.140625" style="234" customWidth="1"/>
    <col min="6" max="6" width="14.5703125" bestFit="1" customWidth="1"/>
    <col min="7" max="7" width="12.5703125" customWidth="1"/>
    <col min="8" max="8" width="12.85546875" style="234" customWidth="1"/>
    <col min="9" max="9" width="15.5703125" customWidth="1"/>
    <col min="10" max="10" width="50.85546875" style="234" bestFit="1" customWidth="1"/>
    <col min="11" max="11" width="5.140625" style="236" customWidth="1"/>
    <col min="12" max="12" width="4.7109375" style="241" customWidth="1"/>
    <col min="13" max="13" width="3.140625" style="234" customWidth="1"/>
    <col min="14" max="14" width="17.85546875" style="234" customWidth="1"/>
    <col min="15" max="15" width="35.85546875" style="234" customWidth="1"/>
    <col min="16" max="16" width="62" style="234" bestFit="1" customWidth="1"/>
    <col min="17" max="17" width="11.5703125" style="234" customWidth="1"/>
    <col min="18" max="18" width="7.140625" style="234" customWidth="1"/>
    <col min="19" max="19" width="9.28515625" style="234" bestFit="1" customWidth="1"/>
    <col min="20" max="20" width="14.28515625" style="234" bestFit="1" customWidth="1"/>
    <col min="21" max="21" width="16.85546875" style="237" bestFit="1" customWidth="1"/>
    <col min="22" max="22" width="18" style="238" bestFit="1" customWidth="1"/>
    <col min="23" max="23" width="4.140625" style="238" customWidth="1"/>
    <col min="24" max="24" width="3.140625" style="237" customWidth="1"/>
    <col min="25" max="25" width="14.28515625" style="234" customWidth="1"/>
    <col min="26" max="26" width="13.28515625" style="234" customWidth="1"/>
    <col min="27" max="27" width="14.5703125" style="234" customWidth="1"/>
    <col min="28" max="28" width="13.28515625" style="234" bestFit="1" customWidth="1"/>
    <col min="29" max="29" width="14.28515625" style="234" bestFit="1" customWidth="1"/>
    <col min="30" max="30" width="14.28515625" style="234" customWidth="1"/>
    <col min="31" max="31" width="15.5703125" style="237" bestFit="1" customWidth="1"/>
    <col min="32" max="33" width="61" style="237" bestFit="1" customWidth="1"/>
    <col min="34" max="34" width="59.28515625" style="234" bestFit="1" customWidth="1"/>
    <col min="35" max="35" width="9.140625" style="234"/>
  </cols>
  <sheetData>
    <row r="1" spans="1:35">
      <c r="A1" s="234" t="e">
        <f>cou</f>
        <v>#NAME?</v>
      </c>
      <c r="B1" s="234">
        <v>24050001</v>
      </c>
      <c r="C1" s="235">
        <v>45413</v>
      </c>
      <c r="E1" s="236"/>
      <c r="F1" s="234"/>
      <c r="G1" s="234"/>
      <c r="I1" s="234"/>
      <c r="K1" s="234"/>
      <c r="L1" s="234"/>
      <c r="Q1" s="237"/>
      <c r="R1" s="238"/>
      <c r="S1" s="238"/>
      <c r="T1" s="237"/>
      <c r="U1" s="234"/>
      <c r="V1" s="234"/>
      <c r="W1" s="234"/>
      <c r="X1" s="234"/>
      <c r="Y1" s="237"/>
      <c r="Z1" s="237"/>
      <c r="AA1" s="237"/>
      <c r="AB1" s="237"/>
      <c r="AC1" s="237"/>
      <c r="AE1" s="234"/>
      <c r="AF1" s="234"/>
      <c r="AG1"/>
      <c r="AH1"/>
      <c r="AI1"/>
    </row>
    <row r="2" spans="1:35">
      <c r="A2" s="234" t="s">
        <v>14</v>
      </c>
      <c r="B2" s="234" t="s">
        <v>30</v>
      </c>
      <c r="C2" s="239" t="s">
        <v>2</v>
      </c>
      <c r="D2" s="243" t="s">
        <v>125</v>
      </c>
      <c r="E2" s="236" t="s">
        <v>127</v>
      </c>
      <c r="F2" s="234" t="s">
        <v>128</v>
      </c>
      <c r="G2" s="240" t="s">
        <v>1</v>
      </c>
      <c r="H2" s="234" t="s">
        <v>126</v>
      </c>
      <c r="I2" s="240" t="s">
        <v>3</v>
      </c>
      <c r="J2" s="234" t="s">
        <v>4</v>
      </c>
      <c r="K2" s="234" t="s">
        <v>5</v>
      </c>
      <c r="L2" s="234" t="s">
        <v>6</v>
      </c>
      <c r="M2" s="234" t="s">
        <v>7</v>
      </c>
      <c r="N2" s="234" t="s">
        <v>79</v>
      </c>
      <c r="O2" s="234" t="s">
        <v>0</v>
      </c>
      <c r="P2" s="234" t="s">
        <v>182</v>
      </c>
      <c r="Q2" s="237" t="s">
        <v>183</v>
      </c>
      <c r="R2" s="238" t="s">
        <v>184</v>
      </c>
      <c r="S2" s="238" t="s">
        <v>185</v>
      </c>
      <c r="T2" s="237" t="s">
        <v>20</v>
      </c>
      <c r="U2" s="234" t="s">
        <v>12</v>
      </c>
      <c r="V2" s="234" t="s">
        <v>13</v>
      </c>
      <c r="W2" s="234" t="s">
        <v>37</v>
      </c>
      <c r="X2" s="234" t="s">
        <v>42</v>
      </c>
      <c r="Y2" s="237" t="s">
        <v>44</v>
      </c>
      <c r="Z2" s="237" t="s">
        <v>100</v>
      </c>
      <c r="AA2" s="237" t="s">
        <v>101</v>
      </c>
      <c r="AB2" s="237" t="s">
        <v>45</v>
      </c>
      <c r="AC2" s="237" t="s">
        <v>46</v>
      </c>
      <c r="AD2" s="234" t="s">
        <v>50</v>
      </c>
      <c r="AE2" s="234" t="s">
        <v>81</v>
      </c>
      <c r="AF2" s="234" t="s">
        <v>95</v>
      </c>
      <c r="AG2"/>
      <c r="AH2"/>
      <c r="AI2"/>
    </row>
    <row r="3" spans="1:35">
      <c r="A3" s="577" t="str">
        <f ca="1">IF(Table1[[#This Row],[No. Invoice :]]="","",ROW())</f>
        <v/>
      </c>
      <c r="B3" s="578" t="str">
        <f ca="1">IF(Table1[[#This Row],[Column3]]="","",B$1+COUNT(INDIRECT("B$2:B"&amp;ROW()-1)))</f>
        <v/>
      </c>
      <c r="C3" s="587" t="str">
        <f>IF(Table1[[#This Row],[Column2]]="","",Table1[[#This Row],[Column2]]+C$1-1)</f>
        <v/>
      </c>
      <c r="D3" s="580"/>
      <c r="E3" s="581"/>
      <c r="F3" s="582"/>
      <c r="G3" s="588" t="str">
        <f ca="1">IF(Table1[[#This Row],[h_No. Invoice :]]="","",CONCATENATE("AM"," ",Table1[[#This Row],[h_No. Invoice :]]))</f>
        <v/>
      </c>
      <c r="H3" s="578" t="str">
        <f>IF(Table1[[#This Row],[Column5]]="","",INDEX(Table2[Column1],MATCH(Table1[[#This Row],[Column5]],Table2[a],0)))</f>
        <v/>
      </c>
      <c r="I3" s="588" t="str">
        <f>IF(Table1[[#This Row],[Column3]]=0,"",CONCATENATE(UPPER(Table1[[#This Row],[Column3]])," ",Table1[[#This Row],[Column4]]))</f>
        <v xml:space="preserve"> </v>
      </c>
      <c r="J3" s="577" t="str">
        <f>IF(Table1[[#This Row],[Column5]]="","",INDEX(Table2[e],IF(Table1[[#This Row],[Column5]]="","",MATCH(Table1[[#This Row],[Column5]],Table2[a],0)),))</f>
        <v/>
      </c>
      <c r="K3" s="583"/>
      <c r="L3" s="583"/>
      <c r="M3" s="583"/>
      <c r="N3" s="582"/>
      <c r="O3" s="578" t="str">
        <f>IF(Table1[[#This Row],[h_Item Description]]="","",INDEX([1]!db[NB PAJAK],MATCH(Table1[[#This Row],[h_Item Description]],[1]!db[kode],0)))</f>
        <v/>
      </c>
      <c r="P3" s="583"/>
      <c r="Q3" s="584"/>
      <c r="R3" s="585"/>
      <c r="S3" s="585"/>
      <c r="T3" s="586" t="str">
        <f>Table1[[#This Row],[h_hargasetelahdiskon]]</f>
        <v/>
      </c>
      <c r="U3" s="583"/>
      <c r="V3" s="583"/>
      <c r="W3" s="577" t="str">
        <f ca="1">IF(Table1[[#This Row],[Column12]]="","",IF(Table1[[#This Row],[//]]="",INDIRECT(ADDRESS(ROW()-1,COLUMN())),Table1[[#This Row],[//]]))</f>
        <v/>
      </c>
      <c r="X3" s="577" t="str">
        <f ca="1">IF(Table1[[#This Row],[h_id]]="","",COUNTIF(Table1[h_id],Table1[[#This Row],[h_id]]))</f>
        <v/>
      </c>
      <c r="Y3" s="584" t="str">
        <f>IF(Table1[[#This Row],[Column12]]="","",Table1[[#This Row],[Qty]]*Table1[[#This Row],[Column13]])</f>
        <v/>
      </c>
      <c r="Z3" s="586" t="str">
        <f>IF(Table1[[#This Row],[h_hargasebelumdiskon]]="","",IF(Table1[[#This Row],[Column14]]="",0,Table1[[#This Row],[h_hargasebelumdiskon]]*Table1[[#This Row],[Column14]]))</f>
        <v/>
      </c>
      <c r="AA3" s="586" t="str">
        <f>IF(Table1[[#This Row],[h_hargasebelumdiskon]]="","",IF(Table1[[#This Row],[Column15]]="",0,(Table1[[#This Row],[h_hargasebelumdiskon]]-Table1[[#This Row],[h_disc 1]])*Table1[[#This Row],[Column15]]))</f>
        <v/>
      </c>
      <c r="AB3" s="584" t="str">
        <f>IF(Table1[[#This Row],[Column12]]="","",Table1[[#This Row],[h_disc 1]]+Table1[[#This Row],[h_disc 2]])</f>
        <v/>
      </c>
      <c r="AC3" s="584" t="str">
        <f>IF(Table1[[#This Row],[Column12]]="","",Table1[[#This Row],[h_hargasebelumdiskon]]-Table1[[#This Row],[h_diskon]])</f>
        <v/>
      </c>
      <c r="AD3" s="584" t="str">
        <f ca="1">IF(Table1[[#This Row],[//]]="","",SUMIF(Table1[h_id],Table1[[#This Row],[h_id]],Table1[h_hargasetelahdiskon]))</f>
        <v/>
      </c>
      <c r="AE3" s="584"/>
      <c r="AF3" s="584" t="str">
        <f>Table1[[#This Row],[Column12]]&amp;Table1[[#This Row],[Unit]]&amp;Table1[[#This Row],[Column13]]</f>
        <v/>
      </c>
      <c r="AG3"/>
      <c r="AH3"/>
      <c r="AI3"/>
    </row>
    <row r="4" spans="1:35">
      <c r="A4" s="234">
        <f ca="1">IF(Table1[[#This Row],[No. Invoice :]]="","",ROW())</f>
        <v>4</v>
      </c>
      <c r="B4" s="234">
        <f ca="1">IF(Table1[[#This Row],[Column3]]="","",B$1+COUNT(INDIRECT("B$2:B"&amp;ROW()-1)))</f>
        <v>24050001</v>
      </c>
      <c r="C4" s="235">
        <f>IF(Table1[[#This Row],[Column2]]="","",Table1[[#This Row],[Column2]]+C$1-1)</f>
        <v>45416</v>
      </c>
      <c r="D4" s="242">
        <v>4</v>
      </c>
      <c r="E4" s="236" t="s">
        <v>190</v>
      </c>
      <c r="F4" s="234" t="s">
        <v>88</v>
      </c>
      <c r="G4" s="234" t="str">
        <f ca="1">IF(Table1[[#This Row],[h_No. Invoice :]]="","",CONCATENATE("AM"," ",Table1[[#This Row],[h_No. Invoice :]]))</f>
        <v>AM 24050001</v>
      </c>
      <c r="H4" s="234" t="str">
        <f>IF(Table1[[#This Row],[Column5]]="","",INDEX(Table2[Column1],MATCH(Table1[[#This Row],[Column5]],Table2[a],0)))</f>
        <v>G</v>
      </c>
      <c r="I4" s="234" t="str">
        <f>IF(Table1[[#This Row],[Column3]]=0,"",CONCATENATE(UPPER(Table1[[#This Row],[Column3]])," ",Table1[[#This Row],[Column4]]))</f>
        <v>G 4633</v>
      </c>
      <c r="J4" s="234" t="str">
        <f>IF(Table1[[#This Row],[Column5]]="","",INDEX(Table2[e],IF(Table1[[#This Row],[Column5]]="","",MATCH(Table1[[#This Row],[Column5]],Table2[a],0)),))</f>
        <v>CV UTAMA PUTRA TULUNG AGUNG</v>
      </c>
      <c r="K4" s="234">
        <v>144</v>
      </c>
      <c r="L4" s="234" t="s">
        <v>186</v>
      </c>
      <c r="M4" s="234">
        <v>1</v>
      </c>
      <c r="N4" s="234" t="s">
        <v>191</v>
      </c>
      <c r="O4" s="234" t="str">
        <f>IF(Table1[[#This Row],[h_Item Description]]="","",INDEX([1]!db[NB PAJAK],MATCH(Table1[[#This Row],[h_Item Description]],[1]!db[kode],0)))</f>
        <v>GEL PEN KENKO KE-303 T-GEL TRIANGULAR HITAM</v>
      </c>
      <c r="P4" s="234" t="s">
        <v>192</v>
      </c>
      <c r="Q4" s="237">
        <v>21600</v>
      </c>
      <c r="R4" s="238">
        <v>0.125</v>
      </c>
      <c r="S4" s="238"/>
      <c r="T4" s="237">
        <f>Table1[[#This Row],[h_hargasetelahdiskon]]</f>
        <v>2721600</v>
      </c>
      <c r="U4" s="237" t="s">
        <v>129</v>
      </c>
      <c r="V4" s="234"/>
      <c r="W4" s="234">
        <f ca="1">IF(Table1[[#This Row],[Column12]]="","",IF(Table1[[#This Row],[//]]="",INDIRECT(ADDRESS(ROW()-1,COLUMN())),Table1[[#This Row],[//]]))</f>
        <v>4</v>
      </c>
      <c r="X4" s="234">
        <f ca="1">IF(Table1[[#This Row],[h_id]]="","",COUNTIF(Table1[h_id],Table1[[#This Row],[h_id]]))</f>
        <v>1</v>
      </c>
      <c r="Y4" s="237">
        <f>IF(Table1[[#This Row],[Column12]]="","",Table1[[#This Row],[Qty]]*Table1[[#This Row],[Column13]])</f>
        <v>3110400</v>
      </c>
      <c r="Z4" s="237">
        <f>IF(Table1[[#This Row],[h_hargasebelumdiskon]]="","",IF(Table1[[#This Row],[Column14]]="",0,Table1[[#This Row],[h_hargasebelumdiskon]]*Table1[[#This Row],[Column14]]))</f>
        <v>388800</v>
      </c>
      <c r="AA4" s="237">
        <f>IF(Table1[[#This Row],[h_hargasebelumdiskon]]="","",IF(Table1[[#This Row],[Column15]]="",0,(Table1[[#This Row],[h_hargasebelumdiskon]]-Table1[[#This Row],[h_disc 1]])*Table1[[#This Row],[Column15]]))</f>
        <v>0</v>
      </c>
      <c r="AB4" s="237">
        <f>IF(Table1[[#This Row],[Column12]]="","",Table1[[#This Row],[h_disc 1]]+Table1[[#This Row],[h_disc 2]])</f>
        <v>388800</v>
      </c>
      <c r="AC4" s="237">
        <f>IF(Table1[[#This Row],[Column12]]="","",Table1[[#This Row],[h_hargasebelumdiskon]]-Table1[[#This Row],[h_diskon]])</f>
        <v>2721600</v>
      </c>
      <c r="AD4" s="237">
        <f ca="1">IF(Table1[[#This Row],[//]]="","",SUMIF(Table1[h_id],Table1[[#This Row],[h_id]],Table1[h_hargasetelahdiskon]))</f>
        <v>2721600</v>
      </c>
      <c r="AF4" s="237" t="str">
        <f>Table1[[#This Row],[Column12]]&amp;Table1[[#This Row],[Unit]]&amp;Table1[[#This Row],[Column13]]</f>
        <v>GEL PEN KENKO KE-303 T-GEL TRIANGULAR HITAMLSN21600</v>
      </c>
      <c r="AG4"/>
      <c r="AH4"/>
      <c r="AI4"/>
    </row>
    <row r="5" spans="1:35">
      <c r="A5" s="234" t="str">
        <f ca="1">IF(Table1[[#This Row],[No. Invoice :]]="","",ROW())</f>
        <v/>
      </c>
      <c r="B5" s="437" t="str">
        <f ca="1">IF(Table1[[#This Row],[Column3]]="","",B$1+COUNT(INDIRECT("B$2:B"&amp;ROW()-1)))</f>
        <v/>
      </c>
      <c r="C5" s="235" t="str">
        <f>IF(Table1[[#This Row],[Column2]]="","",Table1[[#This Row],[Column2]]+C$1-1)</f>
        <v/>
      </c>
      <c r="D5" s="438"/>
      <c r="E5" s="439"/>
      <c r="F5" s="437"/>
      <c r="G5" s="234" t="str">
        <f ca="1">IF(Table1[[#This Row],[h_No. Invoice :]]="","",CONCATENATE("AM"," ",Table1[[#This Row],[h_No. Invoice :]]))</f>
        <v/>
      </c>
      <c r="H5" s="437" t="str">
        <f>IF(Table1[[#This Row],[Column5]]="","",INDEX(Table2[Column1],MATCH(Table1[[#This Row],[Column5]],Table2[a],0)))</f>
        <v/>
      </c>
      <c r="I5" s="234" t="str">
        <f>IF(Table1[[#This Row],[Column3]]=0,"",CONCATENATE(UPPER(Table1[[#This Row],[Column3]])," ",Table1[[#This Row],[Column4]]))</f>
        <v xml:space="preserve"> </v>
      </c>
      <c r="J5" s="234" t="str">
        <f>IF(Table1[[#This Row],[Column5]]="","",INDEX(Table2[e],IF(Table1[[#This Row],[Column5]]="","",MATCH(Table1[[#This Row],[Column5]],Table2[a],0)),))</f>
        <v/>
      </c>
      <c r="K5" s="234"/>
      <c r="L5" s="234"/>
      <c r="N5" s="437"/>
      <c r="O5" s="437" t="str">
        <f>IF(Table1[[#This Row],[h_Item Description]]="","",INDEX([1]!db[NB PAJAK],MATCH(Table1[[#This Row],[h_Item Description]],[1]!db[kode],0)))</f>
        <v/>
      </c>
      <c r="Q5" s="237"/>
      <c r="R5" s="238"/>
      <c r="S5" s="238"/>
      <c r="T5" s="440" t="str">
        <f>Table1[[#This Row],[h_hargasetelahdiskon]]</f>
        <v/>
      </c>
      <c r="V5" s="234"/>
      <c r="W5" s="234" t="str">
        <f ca="1">IF(Table1[[#This Row],[Column12]]="","",IF(Table1[[#This Row],[//]]="",INDIRECT(ADDRESS(ROW()-1,COLUMN())),Table1[[#This Row],[//]]))</f>
        <v/>
      </c>
      <c r="X5" s="234" t="str">
        <f ca="1">IF(Table1[[#This Row],[h_id]]="","",COUNTIF(Table1[h_id],Table1[[#This Row],[h_id]]))</f>
        <v/>
      </c>
      <c r="Y5" s="237" t="str">
        <f>IF(Table1[[#This Row],[Column12]]="","",Table1[[#This Row],[Qty]]*Table1[[#This Row],[Column13]])</f>
        <v/>
      </c>
      <c r="Z5" s="440" t="str">
        <f>IF(Table1[[#This Row],[h_hargasebelumdiskon]]="","",IF(Table1[[#This Row],[Column14]]="",0,Table1[[#This Row],[h_hargasebelumdiskon]]*Table1[[#This Row],[Column14]]))</f>
        <v/>
      </c>
      <c r="AA5" s="440" t="str">
        <f>IF(Table1[[#This Row],[h_hargasebelumdiskon]]="","",IF(Table1[[#This Row],[Column15]]="",0,(Table1[[#This Row],[h_hargasebelumdiskon]]-Table1[[#This Row],[h_disc 1]])*Table1[[#This Row],[Column15]]))</f>
        <v/>
      </c>
      <c r="AB5" s="237" t="str">
        <f>IF(Table1[[#This Row],[Column12]]="","",Table1[[#This Row],[h_disc 1]]+Table1[[#This Row],[h_disc 2]])</f>
        <v/>
      </c>
      <c r="AC5" s="237" t="str">
        <f>IF(Table1[[#This Row],[Column12]]="","",Table1[[#This Row],[h_hargasebelumdiskon]]-Table1[[#This Row],[h_diskon]])</f>
        <v/>
      </c>
      <c r="AD5" s="237" t="str">
        <f ca="1">IF(Table1[[#This Row],[//]]="","",SUMIF(Table1[h_id],Table1[[#This Row],[h_id]],Table1[h_hargasetelahdiskon]))</f>
        <v/>
      </c>
      <c r="AF5" s="237" t="str">
        <f>Table1[[#This Row],[Column12]]&amp;Table1[[#This Row],[Unit]]&amp;Table1[[#This Row],[Column13]]</f>
        <v/>
      </c>
      <c r="AG5"/>
      <c r="AH5"/>
      <c r="AI5"/>
    </row>
    <row r="6" spans="1:35">
      <c r="A6" s="234">
        <f ca="1">IF(Table1[[#This Row],[No. Invoice :]]="","",ROW())</f>
        <v>6</v>
      </c>
      <c r="B6" s="437">
        <f ca="1">IF(Table1[[#This Row],[Column3]]="","",B$1+COUNT(INDIRECT("B$2:B"&amp;ROW()-1)))</f>
        <v>24050002</v>
      </c>
      <c r="C6" s="235">
        <f>IF(Table1[[#This Row],[Column2]]="","",Table1[[#This Row],[Column2]]+C$1-1)</f>
        <v>45416</v>
      </c>
      <c r="D6" s="438">
        <v>4</v>
      </c>
      <c r="E6" s="236" t="s">
        <v>193</v>
      </c>
      <c r="F6" s="234" t="s">
        <v>80</v>
      </c>
      <c r="G6" s="234" t="str">
        <f ca="1">IF(Table1[[#This Row],[h_No. Invoice :]]="","",CONCATENATE("AM"," ",Table1[[#This Row],[h_No. Invoice :]]))</f>
        <v>AM 24050002</v>
      </c>
      <c r="H6" s="437" t="str">
        <f>IF(Table1[[#This Row],[Column5]]="","",INDEX(Table2[Column1],MATCH(Table1[[#This Row],[Column5]],Table2[a],0)))</f>
        <v>KO</v>
      </c>
      <c r="I6" s="234" t="str">
        <f>IF(Table1[[#This Row],[Column3]]=0,"",CONCATENATE(UPPER(Table1[[#This Row],[Column3]])," ",Table1[[#This Row],[Column4]]))</f>
        <v>KO 4710</v>
      </c>
      <c r="J6" s="234" t="str">
        <f>IF(Table1[[#This Row],[Column5]]="","",INDEX(Table2[e],IF(Table1[[#This Row],[Column5]]="","",MATCH(Table1[[#This Row],[Column5]],Table2[a],0)),))</f>
        <v>CV PELITA JAYA (ANUGERAH SEJAHTERA) PURWOKERTO</v>
      </c>
      <c r="K6" s="234">
        <v>144</v>
      </c>
      <c r="L6" s="234" t="s">
        <v>186</v>
      </c>
      <c r="M6" s="234">
        <v>1</v>
      </c>
      <c r="N6" s="234" t="s">
        <v>194</v>
      </c>
      <c r="O6" s="437" t="str">
        <f>IF(Table1[[#This Row],[h_Item Description]]="","",INDEX([1]!db[NB PAJAK],MATCH(Table1[[#This Row],[h_Item Description]],[1]!db[kode],0)))</f>
        <v>GEL PEN KENKO EASY GEL BIRU</v>
      </c>
      <c r="P6" s="234" t="s">
        <v>206</v>
      </c>
      <c r="Q6" s="237">
        <v>26100</v>
      </c>
      <c r="R6" s="238">
        <v>0.13500000000000001</v>
      </c>
      <c r="S6" s="238"/>
      <c r="T6" s="440">
        <f>Table1[[#This Row],[h_hargasetelahdiskon]]</f>
        <v>3251016</v>
      </c>
      <c r="U6" s="237" t="s">
        <v>129</v>
      </c>
      <c r="V6" s="234"/>
      <c r="W6" s="234">
        <f ca="1">IF(Table1[[#This Row],[Column12]]="","",IF(Table1[[#This Row],[//]]="",INDIRECT(ADDRESS(ROW()-1,COLUMN())),Table1[[#This Row],[//]]))</f>
        <v>6</v>
      </c>
      <c r="X6" s="234">
        <f ca="1">IF(Table1[[#This Row],[h_id]]="","",COUNTIF(Table1[h_id],Table1[[#This Row],[h_id]]))</f>
        <v>10</v>
      </c>
      <c r="Y6" s="237">
        <f>IF(Table1[[#This Row],[Column12]]="","",Table1[[#This Row],[Qty]]*Table1[[#This Row],[Column13]])</f>
        <v>3758400</v>
      </c>
      <c r="Z6" s="440">
        <f>IF(Table1[[#This Row],[h_hargasebelumdiskon]]="","",IF(Table1[[#This Row],[Column14]]="",0,Table1[[#This Row],[h_hargasebelumdiskon]]*Table1[[#This Row],[Column14]]))</f>
        <v>507384.00000000006</v>
      </c>
      <c r="AA6" s="440">
        <f>IF(Table1[[#This Row],[h_hargasebelumdiskon]]="","",IF(Table1[[#This Row],[Column15]]="",0,(Table1[[#This Row],[h_hargasebelumdiskon]]-Table1[[#This Row],[h_disc 1]])*Table1[[#This Row],[Column15]]))</f>
        <v>0</v>
      </c>
      <c r="AB6" s="237">
        <f>IF(Table1[[#This Row],[Column12]]="","",Table1[[#This Row],[h_disc 1]]+Table1[[#This Row],[h_disc 2]])</f>
        <v>507384.00000000006</v>
      </c>
      <c r="AC6" s="237">
        <f>IF(Table1[[#This Row],[Column12]]="","",Table1[[#This Row],[h_hargasebelumdiskon]]-Table1[[#This Row],[h_diskon]])</f>
        <v>3251016</v>
      </c>
      <c r="AD6" s="237">
        <f ca="1">IF(Table1[[#This Row],[//]]="","",SUMIF(Table1[h_id],Table1[[#This Row],[h_id]],Table1[h_hargasetelahdiskon]))</f>
        <v>26531799</v>
      </c>
      <c r="AF6" s="237" t="str">
        <f>Table1[[#This Row],[Column12]]&amp;Table1[[#This Row],[Unit]]&amp;Table1[[#This Row],[Column13]]</f>
        <v>GEL PEN KENKO EASY GEL BIRULSN26100</v>
      </c>
      <c r="AG6"/>
      <c r="AH6"/>
      <c r="AI6"/>
    </row>
    <row r="7" spans="1:35">
      <c r="A7" s="234" t="str">
        <f ca="1">IF(Table1[[#This Row],[No. Invoice :]]="","",ROW())</f>
        <v/>
      </c>
      <c r="B7" s="437" t="str">
        <f ca="1">IF(Table1[[#This Row],[Column3]]="","",B$1+COUNT(INDIRECT("B$2:B"&amp;ROW()-1)))</f>
        <v/>
      </c>
      <c r="C7" s="235" t="str">
        <f>IF(Table1[[#This Row],[Column2]]="","",Table1[[#This Row],[Column2]]+C$1-1)</f>
        <v/>
      </c>
      <c r="D7" s="438"/>
      <c r="E7" s="439"/>
      <c r="F7" s="437"/>
      <c r="G7" s="234" t="str">
        <f ca="1">IF(Table1[[#This Row],[h_No. Invoice :]]="","",CONCATENATE("AM"," ",Table1[[#This Row],[h_No. Invoice :]]))</f>
        <v/>
      </c>
      <c r="H7" s="437" t="str">
        <f>IF(Table1[[#This Row],[Column5]]="","",INDEX(Table2[Column1],MATCH(Table1[[#This Row],[Column5]],Table2[a],0)))</f>
        <v/>
      </c>
      <c r="I7" s="234" t="str">
        <f>IF(Table1[[#This Row],[Column3]]=0,"",CONCATENATE(UPPER(Table1[[#This Row],[Column3]])," ",Table1[[#This Row],[Column4]]))</f>
        <v xml:space="preserve"> </v>
      </c>
      <c r="J7" s="234" t="str">
        <f>IF(Table1[[#This Row],[Column5]]="","",INDEX(Table2[e],IF(Table1[[#This Row],[Column5]]="","",MATCH(Table1[[#This Row],[Column5]],Table2[a],0)),))</f>
        <v/>
      </c>
      <c r="K7" s="234">
        <v>40</v>
      </c>
      <c r="L7" s="234" t="s">
        <v>195</v>
      </c>
      <c r="M7" s="234">
        <v>2</v>
      </c>
      <c r="N7" s="234" t="s">
        <v>196</v>
      </c>
      <c r="O7" s="437" t="str">
        <f>IF(Table1[[#This Row],[h_Item Description]]="","",INDEX([1]!db[NB PAJAK],MATCH(Table1[[#This Row],[h_Item Description]],[1]!db[kode],0)))</f>
        <v>PENSIL KENKO 2B-6191 HIJAU CAP HITAM</v>
      </c>
      <c r="P7" s="234" t="s">
        <v>207</v>
      </c>
      <c r="Q7" s="237">
        <v>110400</v>
      </c>
      <c r="R7" s="238">
        <v>0.13500000000000001</v>
      </c>
      <c r="S7" s="238"/>
      <c r="T7" s="440">
        <f>Table1[[#This Row],[h_hargasetelahdiskon]]</f>
        <v>3819840</v>
      </c>
      <c r="V7" s="234"/>
      <c r="W7" s="234">
        <f ca="1">IF(Table1[[#This Row],[Column12]]="","",IF(Table1[[#This Row],[//]]="",INDIRECT(ADDRESS(ROW()-1,COLUMN())),Table1[[#This Row],[//]]))</f>
        <v>6</v>
      </c>
      <c r="X7" s="234">
        <f ca="1">IF(Table1[[#This Row],[h_id]]="","",COUNTIF(Table1[h_id],Table1[[#This Row],[h_id]]))</f>
        <v>10</v>
      </c>
      <c r="Y7" s="237">
        <f>IF(Table1[[#This Row],[Column12]]="","",Table1[[#This Row],[Qty]]*Table1[[#This Row],[Column13]])</f>
        <v>4416000</v>
      </c>
      <c r="Z7" s="440">
        <f>IF(Table1[[#This Row],[h_hargasebelumdiskon]]="","",IF(Table1[[#This Row],[Column14]]="",0,Table1[[#This Row],[h_hargasebelumdiskon]]*Table1[[#This Row],[Column14]]))</f>
        <v>596160</v>
      </c>
      <c r="AA7" s="440">
        <f>IF(Table1[[#This Row],[h_hargasebelumdiskon]]="","",IF(Table1[[#This Row],[Column15]]="",0,(Table1[[#This Row],[h_hargasebelumdiskon]]-Table1[[#This Row],[h_disc 1]])*Table1[[#This Row],[Column15]]))</f>
        <v>0</v>
      </c>
      <c r="AB7" s="237">
        <f>IF(Table1[[#This Row],[Column12]]="","",Table1[[#This Row],[h_disc 1]]+Table1[[#This Row],[h_disc 2]])</f>
        <v>596160</v>
      </c>
      <c r="AC7" s="237">
        <f>IF(Table1[[#This Row],[Column12]]="","",Table1[[#This Row],[h_hargasebelumdiskon]]-Table1[[#This Row],[h_diskon]])</f>
        <v>3819840</v>
      </c>
      <c r="AD7" s="237" t="str">
        <f ca="1">IF(Table1[[#This Row],[//]]="","",SUMIF(Table1[h_id],Table1[[#This Row],[h_id]],Table1[h_hargasetelahdiskon]))</f>
        <v/>
      </c>
      <c r="AF7" s="237" t="str">
        <f>Table1[[#This Row],[Column12]]&amp;Table1[[#This Row],[Unit]]&amp;Table1[[#This Row],[Column13]]</f>
        <v>PENSIL KENKO 2B-6191 HIJAU CAP HITAMGRS110400</v>
      </c>
      <c r="AG7"/>
      <c r="AH7"/>
      <c r="AI7"/>
    </row>
    <row r="8" spans="1:35">
      <c r="A8" s="234" t="str">
        <f ca="1">IF(Table1[[#This Row],[No. Invoice :]]="","",ROW())</f>
        <v/>
      </c>
      <c r="B8" s="437" t="str">
        <f ca="1">IF(Table1[[#This Row],[Column3]]="","",B$1+COUNT(INDIRECT("B$2:B"&amp;ROW()-1)))</f>
        <v/>
      </c>
      <c r="C8" s="235" t="str">
        <f>IF(Table1[[#This Row],[Column2]]="","",Table1[[#This Row],[Column2]]+C$1-1)</f>
        <v/>
      </c>
      <c r="D8" s="438"/>
      <c r="E8" s="439"/>
      <c r="F8" s="437"/>
      <c r="G8" s="234" t="str">
        <f ca="1">IF(Table1[[#This Row],[h_No. Invoice :]]="","",CONCATENATE("AM"," ",Table1[[#This Row],[h_No. Invoice :]]))</f>
        <v/>
      </c>
      <c r="H8" s="437" t="str">
        <f>IF(Table1[[#This Row],[Column5]]="","",INDEX(Table2[Column1],MATCH(Table1[[#This Row],[Column5]],Table2[a],0)))</f>
        <v/>
      </c>
      <c r="I8" s="234" t="str">
        <f>IF(Table1[[#This Row],[Column3]]=0,"",CONCATENATE(UPPER(Table1[[#This Row],[Column3]])," ",Table1[[#This Row],[Column4]]))</f>
        <v xml:space="preserve"> </v>
      </c>
      <c r="J8" s="234" t="str">
        <f>IF(Table1[[#This Row],[Column5]]="","",INDEX(Table2[e],IF(Table1[[#This Row],[Column5]]="","",MATCH(Table1[[#This Row],[Column5]],Table2[a],0)),))</f>
        <v/>
      </c>
      <c r="K8" s="234">
        <v>480</v>
      </c>
      <c r="L8" s="234" t="s">
        <v>197</v>
      </c>
      <c r="M8" s="234">
        <v>1</v>
      </c>
      <c r="N8" s="234" t="s">
        <v>198</v>
      </c>
      <c r="O8" s="437" t="str">
        <f>IF(Table1[[#This Row],[h_Item Description]]="","",INDEX([1]!db[NB PAJAK],MATCH(Table1[[#This Row],[h_Item Description]],[1]!db[kode],0)))</f>
        <v>HIGHLIGHTER / STABILO KENKO HL-100 HIJAU</v>
      </c>
      <c r="P8" s="234" t="s">
        <v>208</v>
      </c>
      <c r="Q8" s="237">
        <v>3050</v>
      </c>
      <c r="R8" s="238">
        <v>0.13500000000000001</v>
      </c>
      <c r="S8" s="238"/>
      <c r="T8" s="440">
        <f>Table1[[#This Row],[h_hargasetelahdiskon]]</f>
        <v>1266360</v>
      </c>
      <c r="V8" s="234"/>
      <c r="W8" s="234">
        <f ca="1">IF(Table1[[#This Row],[Column12]]="","",IF(Table1[[#This Row],[//]]="",INDIRECT(ADDRESS(ROW()-1,COLUMN())),Table1[[#This Row],[//]]))</f>
        <v>6</v>
      </c>
      <c r="X8" s="234">
        <f ca="1">IF(Table1[[#This Row],[h_id]]="","",COUNTIF(Table1[h_id],Table1[[#This Row],[h_id]]))</f>
        <v>10</v>
      </c>
      <c r="Y8" s="237">
        <f>IF(Table1[[#This Row],[Column12]]="","",Table1[[#This Row],[Qty]]*Table1[[#This Row],[Column13]])</f>
        <v>1464000</v>
      </c>
      <c r="Z8" s="440">
        <f>IF(Table1[[#This Row],[h_hargasebelumdiskon]]="","",IF(Table1[[#This Row],[Column14]]="",0,Table1[[#This Row],[h_hargasebelumdiskon]]*Table1[[#This Row],[Column14]]))</f>
        <v>197640</v>
      </c>
      <c r="AA8" s="440">
        <f>IF(Table1[[#This Row],[h_hargasebelumdiskon]]="","",IF(Table1[[#This Row],[Column15]]="",0,(Table1[[#This Row],[h_hargasebelumdiskon]]-Table1[[#This Row],[h_disc 1]])*Table1[[#This Row],[Column15]]))</f>
        <v>0</v>
      </c>
      <c r="AB8" s="237">
        <f>IF(Table1[[#This Row],[Column12]]="","",Table1[[#This Row],[h_disc 1]]+Table1[[#This Row],[h_disc 2]])</f>
        <v>197640</v>
      </c>
      <c r="AC8" s="237">
        <f>IF(Table1[[#This Row],[Column12]]="","",Table1[[#This Row],[h_hargasebelumdiskon]]-Table1[[#This Row],[h_diskon]])</f>
        <v>1266360</v>
      </c>
      <c r="AD8" s="237" t="str">
        <f ca="1">IF(Table1[[#This Row],[//]]="","",SUMIF(Table1[h_id],Table1[[#This Row],[h_id]],Table1[h_hargasetelahdiskon]))</f>
        <v/>
      </c>
      <c r="AF8" s="237" t="str">
        <f>Table1[[#This Row],[Column12]]&amp;Table1[[#This Row],[Unit]]&amp;Table1[[#This Row],[Column13]]</f>
        <v>HIGHLIGHTER / STABILO KENKO HL-100 HIJAUPCS3050</v>
      </c>
      <c r="AG8"/>
      <c r="AH8"/>
      <c r="AI8"/>
    </row>
    <row r="9" spans="1:35">
      <c r="A9" s="234" t="str">
        <f ca="1">IF(Table1[[#This Row],[No. Invoice :]]="","",ROW())</f>
        <v/>
      </c>
      <c r="B9" s="437" t="str">
        <f ca="1">IF(Table1[[#This Row],[Column3]]="","",B$1+COUNT(INDIRECT("B$2:B"&amp;ROW()-1)))</f>
        <v/>
      </c>
      <c r="C9" s="235" t="str">
        <f>IF(Table1[[#This Row],[Column2]]="","",Table1[[#This Row],[Column2]]+C$1-1)</f>
        <v/>
      </c>
      <c r="D9" s="438"/>
      <c r="E9" s="439"/>
      <c r="F9" s="437"/>
      <c r="G9" s="234" t="str">
        <f ca="1">IF(Table1[[#This Row],[h_No. Invoice :]]="","",CONCATENATE("AM"," ",Table1[[#This Row],[h_No. Invoice :]]))</f>
        <v/>
      </c>
      <c r="H9" s="437" t="str">
        <f>IF(Table1[[#This Row],[Column5]]="","",INDEX(Table2[Column1],MATCH(Table1[[#This Row],[Column5]],Table2[a],0)))</f>
        <v/>
      </c>
      <c r="I9" s="234" t="str">
        <f>IF(Table1[[#This Row],[Column3]]=0,"",CONCATENATE(UPPER(Table1[[#This Row],[Column3]])," ",Table1[[#This Row],[Column4]]))</f>
        <v xml:space="preserve"> </v>
      </c>
      <c r="J9" s="234" t="str">
        <f>IF(Table1[[#This Row],[Column5]]="","",INDEX(Table2[e],IF(Table1[[#This Row],[Column5]]="","",MATCH(Table1[[#This Row],[Column5]],Table2[a],0)),))</f>
        <v/>
      </c>
      <c r="K9" s="234">
        <v>480</v>
      </c>
      <c r="L9" s="234" t="s">
        <v>197</v>
      </c>
      <c r="M9" s="234">
        <v>1</v>
      </c>
      <c r="N9" s="234" t="s">
        <v>199</v>
      </c>
      <c r="O9" s="437" t="str">
        <f>IF(Table1[[#This Row],[h_Item Description]]="","",INDEX([1]!db[NB PAJAK],MATCH(Table1[[#This Row],[h_Item Description]],[1]!db[kode],0)))</f>
        <v>HIGHLIGHTER / STABILO KENKO HL-100 PINK</v>
      </c>
      <c r="P9" s="234" t="s">
        <v>209</v>
      </c>
      <c r="Q9" s="237">
        <v>3050</v>
      </c>
      <c r="R9" s="238">
        <v>0.13500000000000001</v>
      </c>
      <c r="S9" s="238"/>
      <c r="T9" s="440">
        <f>Table1[[#This Row],[h_hargasetelahdiskon]]</f>
        <v>1266360</v>
      </c>
      <c r="V9" s="234"/>
      <c r="W9" s="234">
        <f ca="1">IF(Table1[[#This Row],[Column12]]="","",IF(Table1[[#This Row],[//]]="",INDIRECT(ADDRESS(ROW()-1,COLUMN())),Table1[[#This Row],[//]]))</f>
        <v>6</v>
      </c>
      <c r="X9" s="234">
        <f ca="1">IF(Table1[[#This Row],[h_id]]="","",COUNTIF(Table1[h_id],Table1[[#This Row],[h_id]]))</f>
        <v>10</v>
      </c>
      <c r="Y9" s="237">
        <f>IF(Table1[[#This Row],[Column12]]="","",Table1[[#This Row],[Qty]]*Table1[[#This Row],[Column13]])</f>
        <v>1464000</v>
      </c>
      <c r="Z9" s="440">
        <f>IF(Table1[[#This Row],[h_hargasebelumdiskon]]="","",IF(Table1[[#This Row],[Column14]]="",0,Table1[[#This Row],[h_hargasebelumdiskon]]*Table1[[#This Row],[Column14]]))</f>
        <v>197640</v>
      </c>
      <c r="AA9" s="440">
        <f>IF(Table1[[#This Row],[h_hargasebelumdiskon]]="","",IF(Table1[[#This Row],[Column15]]="",0,(Table1[[#This Row],[h_hargasebelumdiskon]]-Table1[[#This Row],[h_disc 1]])*Table1[[#This Row],[Column15]]))</f>
        <v>0</v>
      </c>
      <c r="AB9" s="237">
        <f>IF(Table1[[#This Row],[Column12]]="","",Table1[[#This Row],[h_disc 1]]+Table1[[#This Row],[h_disc 2]])</f>
        <v>197640</v>
      </c>
      <c r="AC9" s="237">
        <f>IF(Table1[[#This Row],[Column12]]="","",Table1[[#This Row],[h_hargasebelumdiskon]]-Table1[[#This Row],[h_diskon]])</f>
        <v>1266360</v>
      </c>
      <c r="AD9" s="237" t="str">
        <f ca="1">IF(Table1[[#This Row],[//]]="","",SUMIF(Table1[h_id],Table1[[#This Row],[h_id]],Table1[h_hargasetelahdiskon]))</f>
        <v/>
      </c>
      <c r="AF9" s="237" t="str">
        <f>Table1[[#This Row],[Column12]]&amp;Table1[[#This Row],[Unit]]&amp;Table1[[#This Row],[Column13]]</f>
        <v>HIGHLIGHTER / STABILO KENKO HL-100 PINKPCS3050</v>
      </c>
      <c r="AG9"/>
      <c r="AH9"/>
      <c r="AI9"/>
    </row>
    <row r="10" spans="1:35">
      <c r="A10" s="234" t="str">
        <f ca="1">IF(Table1[[#This Row],[No. Invoice :]]="","",ROW())</f>
        <v/>
      </c>
      <c r="B10" s="437" t="str">
        <f ca="1">IF(Table1[[#This Row],[Column3]]="","",B$1+COUNT(INDIRECT("B$2:B"&amp;ROW()-1)))</f>
        <v/>
      </c>
      <c r="C10" s="235" t="str">
        <f>IF(Table1[[#This Row],[Column2]]="","",Table1[[#This Row],[Column2]]+C$1-1)</f>
        <v/>
      </c>
      <c r="D10" s="438"/>
      <c r="E10" s="439"/>
      <c r="F10" s="437"/>
      <c r="G10" s="234" t="str">
        <f ca="1">IF(Table1[[#This Row],[h_No. Invoice :]]="","",CONCATENATE("AM"," ",Table1[[#This Row],[h_No. Invoice :]]))</f>
        <v/>
      </c>
      <c r="H10" s="437" t="str">
        <f>IF(Table1[[#This Row],[Column5]]="","",INDEX(Table2[Column1],MATCH(Table1[[#This Row],[Column5]],Table2[a],0)))</f>
        <v/>
      </c>
      <c r="I10" s="234" t="str">
        <f>IF(Table1[[#This Row],[Column3]]=0,"",CONCATENATE(UPPER(Table1[[#This Row],[Column3]])," ",Table1[[#This Row],[Column4]]))</f>
        <v xml:space="preserve"> </v>
      </c>
      <c r="J10" s="234" t="str">
        <f>IF(Table1[[#This Row],[Column5]]="","",INDEX(Table2[e],IF(Table1[[#This Row],[Column5]]="","",MATCH(Table1[[#This Row],[Column5]],Table2[a],0)),))</f>
        <v/>
      </c>
      <c r="K10" s="234">
        <v>50</v>
      </c>
      <c r="L10" s="234" t="s">
        <v>200</v>
      </c>
      <c r="M10" s="234">
        <v>1</v>
      </c>
      <c r="N10" s="234" t="s">
        <v>201</v>
      </c>
      <c r="O10" s="437" t="str">
        <f>IF(Table1[[#This Row],[h_Item Description]]="","",INDEX([1]!db[NB PAJAK],MATCH(Table1[[#This Row],[h_Item Description]],[1]!db[kode],0)))</f>
        <v>STIP / PENGHAPUS KENKO ERW-40SQ PUTIH</v>
      </c>
      <c r="P10" s="234" t="s">
        <v>210</v>
      </c>
      <c r="Q10" s="237">
        <v>27500</v>
      </c>
      <c r="R10" s="238">
        <v>0.13500000000000001</v>
      </c>
      <c r="S10" s="238"/>
      <c r="T10" s="440">
        <f>Table1[[#This Row],[h_hargasetelahdiskon]]</f>
        <v>1189375</v>
      </c>
      <c r="V10" s="234"/>
      <c r="W10" s="234">
        <f ca="1">IF(Table1[[#This Row],[Column12]]="","",IF(Table1[[#This Row],[//]]="",INDIRECT(ADDRESS(ROW()-1,COLUMN())),Table1[[#This Row],[//]]))</f>
        <v>6</v>
      </c>
      <c r="X10" s="234">
        <f ca="1">IF(Table1[[#This Row],[h_id]]="","",COUNTIF(Table1[h_id],Table1[[#This Row],[h_id]]))</f>
        <v>10</v>
      </c>
      <c r="Y10" s="237">
        <f>IF(Table1[[#This Row],[Column12]]="","",Table1[[#This Row],[Qty]]*Table1[[#This Row],[Column13]])</f>
        <v>1375000</v>
      </c>
      <c r="Z10" s="440">
        <f>IF(Table1[[#This Row],[h_hargasebelumdiskon]]="","",IF(Table1[[#This Row],[Column14]]="",0,Table1[[#This Row],[h_hargasebelumdiskon]]*Table1[[#This Row],[Column14]]))</f>
        <v>185625</v>
      </c>
      <c r="AA10" s="440">
        <f>IF(Table1[[#This Row],[h_hargasebelumdiskon]]="","",IF(Table1[[#This Row],[Column15]]="",0,(Table1[[#This Row],[h_hargasebelumdiskon]]-Table1[[#This Row],[h_disc 1]])*Table1[[#This Row],[Column15]]))</f>
        <v>0</v>
      </c>
      <c r="AB10" s="237">
        <f>IF(Table1[[#This Row],[Column12]]="","",Table1[[#This Row],[h_disc 1]]+Table1[[#This Row],[h_disc 2]])</f>
        <v>185625</v>
      </c>
      <c r="AC10" s="237">
        <f>IF(Table1[[#This Row],[Column12]]="","",Table1[[#This Row],[h_hargasebelumdiskon]]-Table1[[#This Row],[h_diskon]])</f>
        <v>1189375</v>
      </c>
      <c r="AD10" s="237" t="str">
        <f ca="1">IF(Table1[[#This Row],[//]]="","",SUMIF(Table1[h_id],Table1[[#This Row],[h_id]],Table1[h_hargasetelahdiskon]))</f>
        <v/>
      </c>
      <c r="AF10" s="237" t="str">
        <f>Table1[[#This Row],[Column12]]&amp;Table1[[#This Row],[Unit]]&amp;Table1[[#This Row],[Column13]]</f>
        <v>STIP / PENGHAPUS KENKO ERW-40SQ PUTIHBOX27500</v>
      </c>
      <c r="AG10"/>
      <c r="AH10"/>
      <c r="AI10"/>
    </row>
    <row r="11" spans="1:35">
      <c r="A11" s="234" t="str">
        <f ca="1">IF(Table1[[#This Row],[No. Invoice :]]="","",ROW())</f>
        <v/>
      </c>
      <c r="B11" s="437" t="str">
        <f ca="1">IF(Table1[[#This Row],[Column3]]="","",B$1+COUNT(INDIRECT("B$2:B"&amp;ROW()-1)))</f>
        <v/>
      </c>
      <c r="C11" s="235" t="str">
        <f>IF(Table1[[#This Row],[Column2]]="","",Table1[[#This Row],[Column2]]+C$1-1)</f>
        <v/>
      </c>
      <c r="D11" s="438"/>
      <c r="E11" s="439"/>
      <c r="F11" s="437"/>
      <c r="G11" s="234" t="str">
        <f ca="1">IF(Table1[[#This Row],[h_No. Invoice :]]="","",CONCATENATE("AM"," ",Table1[[#This Row],[h_No. Invoice :]]))</f>
        <v/>
      </c>
      <c r="H11" s="437" t="str">
        <f>IF(Table1[[#This Row],[Column5]]="","",INDEX(Table2[Column1],MATCH(Table1[[#This Row],[Column5]],Table2[a],0)))</f>
        <v/>
      </c>
      <c r="I11" s="234" t="str">
        <f>IF(Table1[[#This Row],[Column3]]=0,"",CONCATENATE(UPPER(Table1[[#This Row],[Column3]])," ",Table1[[#This Row],[Column4]]))</f>
        <v xml:space="preserve"> </v>
      </c>
      <c r="J11" s="234" t="str">
        <f>IF(Table1[[#This Row],[Column5]]="","",INDEX(Table2[e],IF(Table1[[#This Row],[Column5]]="","",MATCH(Table1[[#This Row],[Column5]],Table2[a],0)),))</f>
        <v/>
      </c>
      <c r="K11" s="234">
        <v>48</v>
      </c>
      <c r="L11" s="234" t="s">
        <v>186</v>
      </c>
      <c r="M11" s="234">
        <v>1</v>
      </c>
      <c r="N11" s="234" t="s">
        <v>202</v>
      </c>
      <c r="O11" s="437" t="str">
        <f>IF(Table1[[#This Row],[h_Item Description]]="","",INDEX([1]!db[NB PAJAK],MATCH(Table1[[#This Row],[h_Item Description]],[1]!db[kode],0)))</f>
        <v>PUSH PIN KENKO PN-30 WARNA</v>
      </c>
      <c r="P11" s="234" t="s">
        <v>211</v>
      </c>
      <c r="Q11" s="237">
        <v>33000</v>
      </c>
      <c r="R11" s="238">
        <v>0.13500000000000001</v>
      </c>
      <c r="S11" s="238"/>
      <c r="T11" s="440">
        <f>Table1[[#This Row],[h_hargasetelahdiskon]]</f>
        <v>1370160</v>
      </c>
      <c r="V11" s="234"/>
      <c r="W11" s="234">
        <f ca="1">IF(Table1[[#This Row],[Column12]]="","",IF(Table1[[#This Row],[//]]="",INDIRECT(ADDRESS(ROW()-1,COLUMN())),Table1[[#This Row],[//]]))</f>
        <v>6</v>
      </c>
      <c r="X11" s="234">
        <f ca="1">IF(Table1[[#This Row],[h_id]]="","",COUNTIF(Table1[h_id],Table1[[#This Row],[h_id]]))</f>
        <v>10</v>
      </c>
      <c r="Y11" s="237">
        <f>IF(Table1[[#This Row],[Column12]]="","",Table1[[#This Row],[Qty]]*Table1[[#This Row],[Column13]])</f>
        <v>1584000</v>
      </c>
      <c r="Z11" s="440">
        <f>IF(Table1[[#This Row],[h_hargasebelumdiskon]]="","",IF(Table1[[#This Row],[Column14]]="",0,Table1[[#This Row],[h_hargasebelumdiskon]]*Table1[[#This Row],[Column14]]))</f>
        <v>213840</v>
      </c>
      <c r="AA11" s="440">
        <f>IF(Table1[[#This Row],[h_hargasebelumdiskon]]="","",IF(Table1[[#This Row],[Column15]]="",0,(Table1[[#This Row],[h_hargasebelumdiskon]]-Table1[[#This Row],[h_disc 1]])*Table1[[#This Row],[Column15]]))</f>
        <v>0</v>
      </c>
      <c r="AB11" s="237">
        <f>IF(Table1[[#This Row],[Column12]]="","",Table1[[#This Row],[h_disc 1]]+Table1[[#This Row],[h_disc 2]])</f>
        <v>213840</v>
      </c>
      <c r="AC11" s="237">
        <f>IF(Table1[[#This Row],[Column12]]="","",Table1[[#This Row],[h_hargasebelumdiskon]]-Table1[[#This Row],[h_diskon]])</f>
        <v>1370160</v>
      </c>
      <c r="AD11" s="237" t="str">
        <f ca="1">IF(Table1[[#This Row],[//]]="","",SUMIF(Table1[h_id],Table1[[#This Row],[h_id]],Table1[h_hargasetelahdiskon]))</f>
        <v/>
      </c>
      <c r="AF11" s="237" t="str">
        <f>Table1[[#This Row],[Column12]]&amp;Table1[[#This Row],[Unit]]&amp;Table1[[#This Row],[Column13]]</f>
        <v>PUSH PIN KENKO PN-30 WARNALSN33000</v>
      </c>
      <c r="AG11"/>
      <c r="AH11"/>
      <c r="AI11"/>
    </row>
    <row r="12" spans="1:35">
      <c r="A12" s="234" t="str">
        <f ca="1">IF(Table1[[#This Row],[No. Invoice :]]="","",ROW())</f>
        <v/>
      </c>
      <c r="B12" s="437" t="str">
        <f ca="1">IF(Table1[[#This Row],[Column3]]="","",B$1+COUNT(INDIRECT("B$2:B"&amp;ROW()-1)))</f>
        <v/>
      </c>
      <c r="C12" s="235" t="str">
        <f>IF(Table1[[#This Row],[Column2]]="","",Table1[[#This Row],[Column2]]+C$1-1)</f>
        <v/>
      </c>
      <c r="D12" s="438"/>
      <c r="E12" s="439"/>
      <c r="F12" s="437"/>
      <c r="G12" s="234" t="str">
        <f ca="1">IF(Table1[[#This Row],[h_No. Invoice :]]="","",CONCATENATE("AM"," ",Table1[[#This Row],[h_No. Invoice :]]))</f>
        <v/>
      </c>
      <c r="H12" s="437" t="str">
        <f>IF(Table1[[#This Row],[Column5]]="","",INDEX(Table2[Column1],MATCH(Table1[[#This Row],[Column5]],Table2[a],0)))</f>
        <v/>
      </c>
      <c r="I12" s="234" t="str">
        <f>IF(Table1[[#This Row],[Column3]]=0,"",CONCATENATE(UPPER(Table1[[#This Row],[Column3]])," ",Table1[[#This Row],[Column4]]))</f>
        <v xml:space="preserve"> </v>
      </c>
      <c r="J12" s="234" t="str">
        <f>IF(Table1[[#This Row],[Column5]]="","",INDEX(Table2[e],IF(Table1[[#This Row],[Column5]]="","",MATCH(Table1[[#This Row],[Column5]],Table2[a],0)),))</f>
        <v/>
      </c>
      <c r="K12" s="234">
        <v>500</v>
      </c>
      <c r="L12" s="234" t="s">
        <v>197</v>
      </c>
      <c r="M12" s="234">
        <v>1</v>
      </c>
      <c r="N12" s="234" t="s">
        <v>203</v>
      </c>
      <c r="O12" s="437" t="str">
        <f>IF(Table1[[#This Row],[h_Item Description]]="","",INDEX([1]!db[NB PAJAK],MATCH(Table1[[#This Row],[h_Item Description]],[1]!db[kode],0)))</f>
        <v>LABEL HARGA JOYKO LB-3 (2 LINE KUNING FLUOR)</v>
      </c>
      <c r="P12" s="234" t="s">
        <v>212</v>
      </c>
      <c r="Q12" s="237">
        <v>4300</v>
      </c>
      <c r="R12" s="238">
        <v>0.13500000000000001</v>
      </c>
      <c r="S12" s="238"/>
      <c r="T12" s="440">
        <f>Table1[[#This Row],[h_hargasetelahdiskon]]</f>
        <v>1859750</v>
      </c>
      <c r="V12" s="234"/>
      <c r="W12" s="234">
        <f ca="1">IF(Table1[[#This Row],[Column12]]="","",IF(Table1[[#This Row],[//]]="",INDIRECT(ADDRESS(ROW()-1,COLUMN())),Table1[[#This Row],[//]]))</f>
        <v>6</v>
      </c>
      <c r="X12" s="234">
        <f ca="1">IF(Table1[[#This Row],[h_id]]="","",COUNTIF(Table1[h_id],Table1[[#This Row],[h_id]]))</f>
        <v>10</v>
      </c>
      <c r="Y12" s="237">
        <f>IF(Table1[[#This Row],[Column12]]="","",Table1[[#This Row],[Qty]]*Table1[[#This Row],[Column13]])</f>
        <v>2150000</v>
      </c>
      <c r="Z12" s="440">
        <f>IF(Table1[[#This Row],[h_hargasebelumdiskon]]="","",IF(Table1[[#This Row],[Column14]]="",0,Table1[[#This Row],[h_hargasebelumdiskon]]*Table1[[#This Row],[Column14]]))</f>
        <v>290250</v>
      </c>
      <c r="AA12" s="440">
        <f>IF(Table1[[#This Row],[h_hargasebelumdiskon]]="","",IF(Table1[[#This Row],[Column15]]="",0,(Table1[[#This Row],[h_hargasebelumdiskon]]-Table1[[#This Row],[h_disc 1]])*Table1[[#This Row],[Column15]]))</f>
        <v>0</v>
      </c>
      <c r="AB12" s="237">
        <f>IF(Table1[[#This Row],[Column12]]="","",Table1[[#This Row],[h_disc 1]]+Table1[[#This Row],[h_disc 2]])</f>
        <v>290250</v>
      </c>
      <c r="AC12" s="237">
        <f>IF(Table1[[#This Row],[Column12]]="","",Table1[[#This Row],[h_hargasebelumdiskon]]-Table1[[#This Row],[h_diskon]])</f>
        <v>1859750</v>
      </c>
      <c r="AD12" s="237" t="str">
        <f ca="1">IF(Table1[[#This Row],[//]]="","",SUMIF(Table1[h_id],Table1[[#This Row],[h_id]],Table1[h_hargasetelahdiskon]))</f>
        <v/>
      </c>
      <c r="AF12" s="237" t="str">
        <f>Table1[[#This Row],[Column12]]&amp;Table1[[#This Row],[Unit]]&amp;Table1[[#This Row],[Column13]]</f>
        <v>LABEL HARGA JOYKO LB-3 (2 LINE KUNING FLUOR)PCS4300</v>
      </c>
      <c r="AG12"/>
      <c r="AH12"/>
      <c r="AI12"/>
    </row>
    <row r="13" spans="1:35">
      <c r="A13" s="234" t="str">
        <f ca="1">IF(Table1[[#This Row],[No. Invoice :]]="","",ROW())</f>
        <v/>
      </c>
      <c r="B13" s="234" t="str">
        <f ca="1">IF(Table1[[#This Row],[Column3]]="","",B$1+COUNT(INDIRECT("B$2:B"&amp;ROW()-1)))</f>
        <v/>
      </c>
      <c r="C13" s="235" t="str">
        <f>IF(Table1[[#This Row],[Column2]]="","",Table1[[#This Row],[Column2]]+C$1-1)</f>
        <v/>
      </c>
      <c r="D13" s="234"/>
      <c r="E13" s="236"/>
      <c r="F13" s="234"/>
      <c r="G13" s="234" t="str">
        <f ca="1">IF(Table1[[#This Row],[h_No. Invoice :]]="","",CONCATENATE("AM"," ",Table1[[#This Row],[h_No. Invoice :]]))</f>
        <v/>
      </c>
      <c r="H13" s="234" t="str">
        <f>IF(Table1[[#This Row],[Column5]]="","",INDEX(Table2[Column1],MATCH(Table1[[#This Row],[Column5]],Table2[a],0)))</f>
        <v/>
      </c>
      <c r="I13" s="234" t="str">
        <f>IF(Table1[[#This Row],[Column3]]=0,"",CONCATENATE(UPPER(Table1[[#This Row],[Column3]])," ",Table1[[#This Row],[Column4]]))</f>
        <v xml:space="preserve"> </v>
      </c>
      <c r="J13" s="234" t="str">
        <f>IF(Table1[[#This Row],[Column5]]="","",INDEX(Table2[e],IF(Table1[[#This Row],[Column5]]="","",MATCH(Table1[[#This Row],[Column5]],Table2[a],0)),))</f>
        <v/>
      </c>
      <c r="K13" s="234">
        <v>1000</v>
      </c>
      <c r="L13" s="234" t="s">
        <v>197</v>
      </c>
      <c r="M13" s="234">
        <v>5</v>
      </c>
      <c r="N13" s="234" t="s">
        <v>204</v>
      </c>
      <c r="O13" s="234" t="str">
        <f>IF(Table1[[#This Row],[h_Item Description]]="","",INDEX([1]!db[NB PAJAK],MATCH(Table1[[#This Row],[h_Item Description]],[1]!db[kode],0)))</f>
        <v>ISI STAPLER (STAPLES) KENKO 1210 PREMIUM (23/10)</v>
      </c>
      <c r="P13" s="234" t="s">
        <v>213</v>
      </c>
      <c r="Q13" s="237">
        <v>4200</v>
      </c>
      <c r="R13" s="238">
        <v>0.13500000000000001</v>
      </c>
      <c r="S13" s="238"/>
      <c r="T13" s="237">
        <f>Table1[[#This Row],[h_hargasetelahdiskon]]</f>
        <v>3633000</v>
      </c>
      <c r="V13" s="234"/>
      <c r="W13" s="234">
        <f ca="1">IF(Table1[[#This Row],[Column12]]="","",IF(Table1[[#This Row],[//]]="",INDIRECT(ADDRESS(ROW()-1,COLUMN())),Table1[[#This Row],[//]]))</f>
        <v>6</v>
      </c>
      <c r="X13" s="234">
        <f ca="1">IF(Table1[[#This Row],[h_id]]="","",COUNTIF(Table1[h_id],Table1[[#This Row],[h_id]]))</f>
        <v>10</v>
      </c>
      <c r="Y13" s="237">
        <f>IF(Table1[[#This Row],[Column12]]="","",Table1[[#This Row],[Qty]]*Table1[[#This Row],[Column13]])</f>
        <v>4200000</v>
      </c>
      <c r="Z13" s="237">
        <f>IF(Table1[[#This Row],[h_hargasebelumdiskon]]="","",IF(Table1[[#This Row],[Column14]]="",0,Table1[[#This Row],[h_hargasebelumdiskon]]*Table1[[#This Row],[Column14]]))</f>
        <v>567000</v>
      </c>
      <c r="AA13" s="237">
        <f>IF(Table1[[#This Row],[h_hargasebelumdiskon]]="","",IF(Table1[[#This Row],[Column15]]="",0,(Table1[[#This Row],[h_hargasebelumdiskon]]-Table1[[#This Row],[h_disc 1]])*Table1[[#This Row],[Column15]]))</f>
        <v>0</v>
      </c>
      <c r="AB13" s="237">
        <f>IF(Table1[[#This Row],[Column12]]="","",Table1[[#This Row],[h_disc 1]]+Table1[[#This Row],[h_disc 2]])</f>
        <v>567000</v>
      </c>
      <c r="AC13" s="237">
        <f>IF(Table1[[#This Row],[Column12]]="","",Table1[[#This Row],[h_hargasebelumdiskon]]-Table1[[#This Row],[h_diskon]])</f>
        <v>3633000</v>
      </c>
      <c r="AD13" s="237" t="str">
        <f ca="1">IF(Table1[[#This Row],[//]]="","",SUMIF(Table1[h_id],Table1[[#This Row],[h_id]],Table1[h_hargasetelahdiskon]))</f>
        <v/>
      </c>
      <c r="AF13" s="237" t="str">
        <f>Table1[[#This Row],[Column12]]&amp;Table1[[#This Row],[Unit]]&amp;Table1[[#This Row],[Column13]]</f>
        <v>ISI STAPLER (STAPLES) KENKO 1210 PREMIUM (23/10)PCS4200</v>
      </c>
      <c r="AG13"/>
      <c r="AH13"/>
      <c r="AI13"/>
    </row>
    <row r="14" spans="1:35">
      <c r="A14" s="234" t="str">
        <f ca="1">IF(Table1[[#This Row],[No. Invoice :]]="","",ROW())</f>
        <v/>
      </c>
      <c r="B14" s="437" t="str">
        <f ca="1">IF(Table1[[#This Row],[Column3]]="","",B$1+COUNT(INDIRECT("B$2:B"&amp;ROW()-1)))</f>
        <v/>
      </c>
      <c r="C14" s="235" t="str">
        <f>IF(Table1[[#This Row],[Column2]]="","",Table1[[#This Row],[Column2]]+C$1-1)</f>
        <v/>
      </c>
      <c r="D14" s="438"/>
      <c r="E14" s="439"/>
      <c r="F14" s="437"/>
      <c r="G14" s="234" t="str">
        <f ca="1">IF(Table1[[#This Row],[h_No. Invoice :]]="","",CONCATENATE("AM"," ",Table1[[#This Row],[h_No. Invoice :]]))</f>
        <v/>
      </c>
      <c r="H14" s="437" t="str">
        <f>IF(Table1[[#This Row],[Column5]]="","",INDEX(Table2[Column1],MATCH(Table1[[#This Row],[Column5]],Table2[a],0)))</f>
        <v/>
      </c>
      <c r="I14" s="234" t="str">
        <f>IF(Table1[[#This Row],[Column3]]=0,"",CONCATENATE(UPPER(Table1[[#This Row],[Column3]])," ",Table1[[#This Row],[Column4]]))</f>
        <v xml:space="preserve"> </v>
      </c>
      <c r="J14" s="234" t="str">
        <f>IF(Table1[[#This Row],[Column5]]="","",INDEX(Table2[e],IF(Table1[[#This Row],[Column5]]="","",MATCH(Table1[[#This Row],[Column5]],Table2[a],0)),))</f>
        <v/>
      </c>
      <c r="K14" s="234">
        <v>432</v>
      </c>
      <c r="L14" s="234" t="s">
        <v>186</v>
      </c>
      <c r="M14" s="234">
        <v>3</v>
      </c>
      <c r="N14" s="234" t="s">
        <v>191</v>
      </c>
      <c r="O14" s="437" t="str">
        <f>IF(Table1[[#This Row],[h_Item Description]]="","",INDEX([1]!db[NB PAJAK],MATCH(Table1[[#This Row],[h_Item Description]],[1]!db[kode],0)))</f>
        <v>GEL PEN KENKO KE-303 T-GEL TRIANGULAR HITAM</v>
      </c>
      <c r="P14" s="234" t="s">
        <v>192</v>
      </c>
      <c r="Q14" s="237">
        <v>21600</v>
      </c>
      <c r="R14" s="238">
        <v>0.13500000000000001</v>
      </c>
      <c r="S14" s="238"/>
      <c r="T14" s="440">
        <f>Table1[[#This Row],[h_hargasetelahdiskon]]</f>
        <v>8071488</v>
      </c>
      <c r="V14" s="234"/>
      <c r="W14" s="234">
        <f ca="1">IF(Table1[[#This Row],[Column12]]="","",IF(Table1[[#This Row],[//]]="",INDIRECT(ADDRESS(ROW()-1,COLUMN())),Table1[[#This Row],[//]]))</f>
        <v>6</v>
      </c>
      <c r="X14" s="234">
        <f ca="1">IF(Table1[[#This Row],[h_id]]="","",COUNTIF(Table1[h_id],Table1[[#This Row],[h_id]]))</f>
        <v>10</v>
      </c>
      <c r="Y14" s="237">
        <f>IF(Table1[[#This Row],[Column12]]="","",Table1[[#This Row],[Qty]]*Table1[[#This Row],[Column13]])</f>
        <v>9331200</v>
      </c>
      <c r="Z14" s="440">
        <f>IF(Table1[[#This Row],[h_hargasebelumdiskon]]="","",IF(Table1[[#This Row],[Column14]]="",0,Table1[[#This Row],[h_hargasebelumdiskon]]*Table1[[#This Row],[Column14]]))</f>
        <v>1259712</v>
      </c>
      <c r="AA14" s="440">
        <f>IF(Table1[[#This Row],[h_hargasebelumdiskon]]="","",IF(Table1[[#This Row],[Column15]]="",0,(Table1[[#This Row],[h_hargasebelumdiskon]]-Table1[[#This Row],[h_disc 1]])*Table1[[#This Row],[Column15]]))</f>
        <v>0</v>
      </c>
      <c r="AB14" s="237">
        <f>IF(Table1[[#This Row],[Column12]]="","",Table1[[#This Row],[h_disc 1]]+Table1[[#This Row],[h_disc 2]])</f>
        <v>1259712</v>
      </c>
      <c r="AC14" s="237">
        <f>IF(Table1[[#This Row],[Column12]]="","",Table1[[#This Row],[h_hargasebelumdiskon]]-Table1[[#This Row],[h_diskon]])</f>
        <v>8071488</v>
      </c>
      <c r="AD14" s="237" t="str">
        <f ca="1">IF(Table1[[#This Row],[//]]="","",SUMIF(Table1[h_id],Table1[[#This Row],[h_id]],Table1[h_hargasetelahdiskon]))</f>
        <v/>
      </c>
      <c r="AF14" s="237" t="str">
        <f>Table1[[#This Row],[Column12]]&amp;Table1[[#This Row],[Unit]]&amp;Table1[[#This Row],[Column13]]</f>
        <v>GEL PEN KENKO KE-303 T-GEL TRIANGULAR HITAMLSN21600</v>
      </c>
      <c r="AG14"/>
      <c r="AH14"/>
      <c r="AI14"/>
    </row>
    <row r="15" spans="1:35">
      <c r="A15" s="234" t="str">
        <f ca="1">IF(Table1[[#This Row],[No. Invoice :]]="","",ROW())</f>
        <v/>
      </c>
      <c r="B15" s="437" t="str">
        <f ca="1">IF(Table1[[#This Row],[Column3]]="","",B$1+COUNT(INDIRECT("B$2:B"&amp;ROW()-1)))</f>
        <v/>
      </c>
      <c r="C15" s="235" t="str">
        <f>IF(Table1[[#This Row],[Column2]]="","",Table1[[#This Row],[Column2]]+C$1-1)</f>
        <v/>
      </c>
      <c r="D15" s="438"/>
      <c r="E15" s="439"/>
      <c r="F15" s="437"/>
      <c r="G15" s="234" t="str">
        <f ca="1">IF(Table1[[#This Row],[h_No. Invoice :]]="","",CONCATENATE("AM"," ",Table1[[#This Row],[h_No. Invoice :]]))</f>
        <v/>
      </c>
      <c r="H15" s="437" t="str">
        <f>IF(Table1[[#This Row],[Column5]]="","",INDEX(Table2[Column1],MATCH(Table1[[#This Row],[Column5]],Table2[a],0)))</f>
        <v/>
      </c>
      <c r="I15" s="234" t="str">
        <f>IF(Table1[[#This Row],[Column3]]=0,"",CONCATENATE(UPPER(Table1[[#This Row],[Column3]])," ",Table1[[#This Row],[Column4]]))</f>
        <v xml:space="preserve"> </v>
      </c>
      <c r="J15" s="234" t="str">
        <f>IF(Table1[[#This Row],[Column5]]="","",INDEX(Table2[e],IF(Table1[[#This Row],[Column5]]="","",MATCH(Table1[[#This Row],[Column5]],Table2[a],0)),))</f>
        <v/>
      </c>
      <c r="K15" s="234">
        <v>6</v>
      </c>
      <c r="L15" s="234" t="s">
        <v>197</v>
      </c>
      <c r="M15" s="234">
        <v>1</v>
      </c>
      <c r="N15" s="234" t="s">
        <v>205</v>
      </c>
      <c r="O15" s="437" t="str">
        <f>IF(Table1[[#This Row],[h_Item Description]]="","",INDEX([1]!db[NB PAJAK],MATCH(Table1[[#This Row],[h_Item Description]],[1]!db[kode],0)))</f>
        <v>STAPLER HEAVY DUTY KENKO HD-12N/24</v>
      </c>
      <c r="P15" s="234" t="s">
        <v>187</v>
      </c>
      <c r="Q15" s="237">
        <v>155000</v>
      </c>
      <c r="R15" s="238">
        <v>0.13500000000000001</v>
      </c>
      <c r="S15" s="238"/>
      <c r="T15" s="440">
        <f>Table1[[#This Row],[h_hargasetelahdiskon]]</f>
        <v>804450</v>
      </c>
      <c r="V15" s="234"/>
      <c r="W15" s="234">
        <f ca="1">IF(Table1[[#This Row],[Column12]]="","",IF(Table1[[#This Row],[//]]="",INDIRECT(ADDRESS(ROW()-1,COLUMN())),Table1[[#This Row],[//]]))</f>
        <v>6</v>
      </c>
      <c r="X15" s="234">
        <f ca="1">IF(Table1[[#This Row],[h_id]]="","",COUNTIF(Table1[h_id],Table1[[#This Row],[h_id]]))</f>
        <v>10</v>
      </c>
      <c r="Y15" s="237">
        <f>IF(Table1[[#This Row],[Column12]]="","",Table1[[#This Row],[Qty]]*Table1[[#This Row],[Column13]])</f>
        <v>930000</v>
      </c>
      <c r="Z15" s="440">
        <f>IF(Table1[[#This Row],[h_hargasebelumdiskon]]="","",IF(Table1[[#This Row],[Column14]]="",0,Table1[[#This Row],[h_hargasebelumdiskon]]*Table1[[#This Row],[Column14]]))</f>
        <v>125550.00000000001</v>
      </c>
      <c r="AA15" s="440">
        <f>IF(Table1[[#This Row],[h_hargasebelumdiskon]]="","",IF(Table1[[#This Row],[Column15]]="",0,(Table1[[#This Row],[h_hargasebelumdiskon]]-Table1[[#This Row],[h_disc 1]])*Table1[[#This Row],[Column15]]))</f>
        <v>0</v>
      </c>
      <c r="AB15" s="237">
        <f>IF(Table1[[#This Row],[Column12]]="","",Table1[[#This Row],[h_disc 1]]+Table1[[#This Row],[h_disc 2]])</f>
        <v>125550.00000000001</v>
      </c>
      <c r="AC15" s="237">
        <f>IF(Table1[[#This Row],[Column12]]="","",Table1[[#This Row],[h_hargasebelumdiskon]]-Table1[[#This Row],[h_diskon]])</f>
        <v>804450</v>
      </c>
      <c r="AD15" s="237" t="str">
        <f ca="1">IF(Table1[[#This Row],[//]]="","",SUMIF(Table1[h_id],Table1[[#This Row],[h_id]],Table1[h_hargasetelahdiskon]))</f>
        <v/>
      </c>
      <c r="AF15" s="237" t="str">
        <f>Table1[[#This Row],[Column12]]&amp;Table1[[#This Row],[Unit]]&amp;Table1[[#This Row],[Column13]]</f>
        <v>STAPLER HEAVY DUTY KENKO HD-12N/24PCS155000</v>
      </c>
      <c r="AG15"/>
      <c r="AH15"/>
      <c r="AI15"/>
    </row>
    <row r="16" spans="1:35">
      <c r="A16" s="234" t="str">
        <f ca="1">IF(Table1[[#This Row],[No. Invoice :]]="","",ROW())</f>
        <v/>
      </c>
      <c r="B16" s="437" t="str">
        <f ca="1">IF(Table1[[#This Row],[Column3]]="","",B$1+COUNT(INDIRECT("B$2:B"&amp;ROW()-1)))</f>
        <v/>
      </c>
      <c r="C16" s="235" t="str">
        <f>IF(Table1[[#This Row],[Column2]]="","",Table1[[#This Row],[Column2]]+C$1-1)</f>
        <v/>
      </c>
      <c r="D16" s="438"/>
      <c r="E16" s="439"/>
      <c r="F16" s="437"/>
      <c r="G16" s="234" t="str">
        <f ca="1">IF(Table1[[#This Row],[h_No. Invoice :]]="","",CONCATENATE("AM"," ",Table1[[#This Row],[h_No. Invoice :]]))</f>
        <v/>
      </c>
      <c r="H16" s="437" t="str">
        <f>IF(Table1[[#This Row],[Column5]]="","",INDEX(Table2[Column1],MATCH(Table1[[#This Row],[Column5]],Table2[a],0)))</f>
        <v/>
      </c>
      <c r="I16" s="234" t="str">
        <f>IF(Table1[[#This Row],[Column3]]=0,"",CONCATENATE(UPPER(Table1[[#This Row],[Column3]])," ",Table1[[#This Row],[Column4]]))</f>
        <v xml:space="preserve"> </v>
      </c>
      <c r="J16" s="234" t="str">
        <f>IF(Table1[[#This Row],[Column5]]="","",INDEX(Table2[e],IF(Table1[[#This Row],[Column5]]="","",MATCH(Table1[[#This Row],[Column5]],Table2[a],0)),))</f>
        <v/>
      </c>
      <c r="K16" s="234"/>
      <c r="L16" s="234"/>
      <c r="N16" s="437"/>
      <c r="O16" s="437" t="str">
        <f>IF(Table1[[#This Row],[h_Item Description]]="","",INDEX([1]!db[NB PAJAK],MATCH(Table1[[#This Row],[h_Item Description]],[1]!db[kode],0)))</f>
        <v/>
      </c>
      <c r="Q16" s="237"/>
      <c r="R16" s="238"/>
      <c r="S16" s="238"/>
      <c r="T16" s="440" t="str">
        <f>Table1[[#This Row],[h_hargasetelahdiskon]]</f>
        <v/>
      </c>
      <c r="V16" s="234"/>
      <c r="W16" s="234" t="str">
        <f ca="1">IF(Table1[[#This Row],[Column12]]="","",IF(Table1[[#This Row],[//]]="",INDIRECT(ADDRESS(ROW()-1,COLUMN())),Table1[[#This Row],[//]]))</f>
        <v/>
      </c>
      <c r="X16" s="234" t="str">
        <f ca="1">IF(Table1[[#This Row],[h_id]]="","",COUNTIF(Table1[h_id],Table1[[#This Row],[h_id]]))</f>
        <v/>
      </c>
      <c r="Y16" s="237" t="str">
        <f>IF(Table1[[#This Row],[Column12]]="","",Table1[[#This Row],[Qty]]*Table1[[#This Row],[Column13]])</f>
        <v/>
      </c>
      <c r="Z16" s="440" t="str">
        <f>IF(Table1[[#This Row],[h_hargasebelumdiskon]]="","",IF(Table1[[#This Row],[Column14]]="",0,Table1[[#This Row],[h_hargasebelumdiskon]]*Table1[[#This Row],[Column14]]))</f>
        <v/>
      </c>
      <c r="AA16" s="440" t="str">
        <f>IF(Table1[[#This Row],[h_hargasebelumdiskon]]="","",IF(Table1[[#This Row],[Column15]]="",0,(Table1[[#This Row],[h_hargasebelumdiskon]]-Table1[[#This Row],[h_disc 1]])*Table1[[#This Row],[Column15]]))</f>
        <v/>
      </c>
      <c r="AB16" s="237" t="str">
        <f>IF(Table1[[#This Row],[Column12]]="","",Table1[[#This Row],[h_disc 1]]+Table1[[#This Row],[h_disc 2]])</f>
        <v/>
      </c>
      <c r="AC16" s="237" t="str">
        <f>IF(Table1[[#This Row],[Column12]]="","",Table1[[#This Row],[h_hargasebelumdiskon]]-Table1[[#This Row],[h_diskon]])</f>
        <v/>
      </c>
      <c r="AD16" s="237" t="str">
        <f ca="1">IF(Table1[[#This Row],[//]]="","",SUMIF(Table1[h_id],Table1[[#This Row],[h_id]],Table1[h_hargasetelahdiskon]))</f>
        <v/>
      </c>
      <c r="AF16" s="237" t="str">
        <f>Table1[[#This Row],[Column12]]&amp;Table1[[#This Row],[Unit]]&amp;Table1[[#This Row],[Column13]]</f>
        <v/>
      </c>
      <c r="AG16"/>
      <c r="AH16"/>
      <c r="AI16"/>
    </row>
    <row r="17" spans="1:35">
      <c r="A17" s="234">
        <f ca="1">IF(Table1[[#This Row],[No. Invoice :]]="","",ROW())</f>
        <v>17</v>
      </c>
      <c r="B17" s="437">
        <f ca="1">IF(Table1[[#This Row],[Column3]]="","",B$1+COUNT(INDIRECT("B$2:B"&amp;ROW()-1)))</f>
        <v>24050003</v>
      </c>
      <c r="C17" s="235">
        <f>IF(Table1[[#This Row],[Column2]]="","",Table1[[#This Row],[Column2]]+C$1-1)</f>
        <v>45416</v>
      </c>
      <c r="D17" s="438">
        <v>4</v>
      </c>
      <c r="E17" s="236" t="s">
        <v>224</v>
      </c>
      <c r="F17" s="234" t="s">
        <v>215</v>
      </c>
      <c r="G17" s="234" t="str">
        <f ca="1">IF(Table1[[#This Row],[h_No. Invoice :]]="","",CONCATENATE("AM"," ",Table1[[#This Row],[h_No. Invoice :]]))</f>
        <v>AM 24050003</v>
      </c>
      <c r="H17" s="437" t="str">
        <f>IF(Table1[[#This Row],[Column5]]="","",INDEX(Table2[Column1],MATCH(Table1[[#This Row],[Column5]],Table2[a],0)))</f>
        <v>G</v>
      </c>
      <c r="I17" s="234" t="str">
        <f>IF(Table1[[#This Row],[Column3]]=0,"",CONCATENATE(UPPER(Table1[[#This Row],[Column3]])," ",Table1[[#This Row],[Column4]]))</f>
        <v>G 4713</v>
      </c>
      <c r="J17" s="234" t="str">
        <f>IF(Table1[[#This Row],[Column5]]="","",INDEX(Table2[e],IF(Table1[[#This Row],[Column5]]="","",MATCH(Table1[[#This Row],[Column5]],Table2[a],0)),))</f>
        <v>PT.HASTA KENCANA SAKTI ( TRIO PLAZA ) MAGELANG</v>
      </c>
      <c r="K17" s="234">
        <v>48</v>
      </c>
      <c r="L17" s="234" t="s">
        <v>197</v>
      </c>
      <c r="N17" s="424" t="s">
        <v>225</v>
      </c>
      <c r="O17" s="437" t="str">
        <f>IF(Table1[[#This Row],[h_Item Description]]="","",INDEX([1]!db[NB PAJAK],MATCH(Table1[[#This Row],[h_Item Description]],[1]!db[kode],0)))</f>
        <v>GEL PEN VANCO 0.28MM GP-559 HI-TOUCH</v>
      </c>
      <c r="P17" s="234" t="s">
        <v>227</v>
      </c>
      <c r="Q17" s="237">
        <v>2000</v>
      </c>
      <c r="R17" s="238"/>
      <c r="S17" s="238"/>
      <c r="T17" s="440">
        <f>Table1[[#This Row],[h_hargasetelahdiskon]]</f>
        <v>96000</v>
      </c>
      <c r="U17" s="237" t="s">
        <v>129</v>
      </c>
      <c r="V17" s="234"/>
      <c r="W17" s="234">
        <f ca="1">IF(Table1[[#This Row],[Column12]]="","",IF(Table1[[#This Row],[//]]="",INDIRECT(ADDRESS(ROW()-1,COLUMN())),Table1[[#This Row],[//]]))</f>
        <v>17</v>
      </c>
      <c r="X17" s="234">
        <f ca="1">IF(Table1[[#This Row],[h_id]]="","",COUNTIF(Table1[h_id],Table1[[#This Row],[h_id]]))</f>
        <v>2</v>
      </c>
      <c r="Y17" s="237">
        <f>IF(Table1[[#This Row],[Column12]]="","",Table1[[#This Row],[Qty]]*Table1[[#This Row],[Column13]])</f>
        <v>96000</v>
      </c>
      <c r="Z17" s="440">
        <f>IF(Table1[[#This Row],[h_hargasebelumdiskon]]="","",IF(Table1[[#This Row],[Column14]]="",0,Table1[[#This Row],[h_hargasebelumdiskon]]*Table1[[#This Row],[Column14]]))</f>
        <v>0</v>
      </c>
      <c r="AA17" s="440">
        <f>IF(Table1[[#This Row],[h_hargasebelumdiskon]]="","",IF(Table1[[#This Row],[Column15]]="",0,(Table1[[#This Row],[h_hargasebelumdiskon]]-Table1[[#This Row],[h_disc 1]])*Table1[[#This Row],[Column15]]))</f>
        <v>0</v>
      </c>
      <c r="AB17" s="237">
        <f>IF(Table1[[#This Row],[Column12]]="","",Table1[[#This Row],[h_disc 1]]+Table1[[#This Row],[h_disc 2]])</f>
        <v>0</v>
      </c>
      <c r="AC17" s="237">
        <f>IF(Table1[[#This Row],[Column12]]="","",Table1[[#This Row],[h_hargasebelumdiskon]]-Table1[[#This Row],[h_diskon]])</f>
        <v>96000</v>
      </c>
      <c r="AD17" s="237">
        <f ca="1">IF(Table1[[#This Row],[//]]="","",SUMIF(Table1[h_id],Table1[[#This Row],[h_id]],Table1[h_hargasetelahdiskon]))</f>
        <v>195984</v>
      </c>
      <c r="AF17" s="237" t="str">
        <f>Table1[[#This Row],[Column12]]&amp;Table1[[#This Row],[Unit]]&amp;Table1[[#This Row],[Column13]]</f>
        <v>GEL PEN VANCO 0.28 GP-559 HI-TOUCHPCS2000</v>
      </c>
      <c r="AG17"/>
      <c r="AH17"/>
      <c r="AI17"/>
    </row>
    <row r="18" spans="1:35">
      <c r="A18" s="234" t="str">
        <f ca="1">IF(Table1[[#This Row],[No. Invoice :]]="","",ROW())</f>
        <v/>
      </c>
      <c r="B18" s="441" t="str">
        <f ca="1">IF(Table1[[#This Row],[Column3]]="","",B$1+COUNT(INDIRECT("B$2:B"&amp;ROW()-1)))</f>
        <v/>
      </c>
      <c r="C18" s="235" t="str">
        <f>IF(Table1[[#This Row],[Column2]]="","",Table1[[#This Row],[Column2]]+C$1-1)</f>
        <v/>
      </c>
      <c r="D18" s="442"/>
      <c r="E18" s="443"/>
      <c r="F18" s="441"/>
      <c r="G18" s="234" t="str">
        <f ca="1">IF(Table1[[#This Row],[h_No. Invoice :]]="","",CONCATENATE("AM"," ",Table1[[#This Row],[h_No. Invoice :]]))</f>
        <v/>
      </c>
      <c r="H18" s="441" t="str">
        <f>IF(Table1[[#This Row],[Column5]]="","",INDEX(Table2[Column1],MATCH(Table1[[#This Row],[Column5]],Table2[a],0)))</f>
        <v/>
      </c>
      <c r="I18" s="234" t="str">
        <f>IF(Table1[[#This Row],[Column3]]=0,"",CONCATENATE(UPPER(Table1[[#This Row],[Column3]])," ",Table1[[#This Row],[Column4]]))</f>
        <v xml:space="preserve"> </v>
      </c>
      <c r="J18" s="234" t="str">
        <f>IF(Table1[[#This Row],[Column5]]="","",INDEX(Table2[e],IF(Table1[[#This Row],[Column5]]="","",MATCH(Table1[[#This Row],[Column5]],Table2[a],0)),))</f>
        <v/>
      </c>
      <c r="K18" s="234">
        <v>48</v>
      </c>
      <c r="L18" s="234" t="s">
        <v>197</v>
      </c>
      <c r="N18" s="424" t="s">
        <v>226</v>
      </c>
      <c r="O18" s="441" t="str">
        <f>IF(Table1[[#This Row],[h_Item Description]]="","",INDEX([1]!db[NB PAJAK],MATCH(Table1[[#This Row],[h_Item Description]],[1]!db[kode],0)))</f>
        <v>GEL PEN VANCO VC-1609</v>
      </c>
      <c r="P18" s="234" t="s">
        <v>228</v>
      </c>
      <c r="Q18" s="237">
        <v>2083</v>
      </c>
      <c r="R18" s="238"/>
      <c r="S18" s="238"/>
      <c r="T18" s="444">
        <f>Table1[[#This Row],[h_hargasetelahdiskon]]</f>
        <v>99984</v>
      </c>
      <c r="V18" s="234"/>
      <c r="W18" s="234">
        <f ca="1">IF(Table1[[#This Row],[Column12]]="","",IF(Table1[[#This Row],[//]]="",INDIRECT(ADDRESS(ROW()-1,COLUMN())),Table1[[#This Row],[//]]))</f>
        <v>17</v>
      </c>
      <c r="X18" s="234">
        <f ca="1">IF(Table1[[#This Row],[h_id]]="","",COUNTIF(Table1[h_id],Table1[[#This Row],[h_id]]))</f>
        <v>2</v>
      </c>
      <c r="Y18" s="237">
        <f>IF(Table1[[#This Row],[Column12]]="","",Table1[[#This Row],[Qty]]*Table1[[#This Row],[Column13]])</f>
        <v>99984</v>
      </c>
      <c r="Z18" s="444">
        <f>IF(Table1[[#This Row],[h_hargasebelumdiskon]]="","",IF(Table1[[#This Row],[Column14]]="",0,Table1[[#This Row],[h_hargasebelumdiskon]]*Table1[[#This Row],[Column14]]))</f>
        <v>0</v>
      </c>
      <c r="AA18" s="444">
        <f>IF(Table1[[#This Row],[h_hargasebelumdiskon]]="","",IF(Table1[[#This Row],[Column15]]="",0,(Table1[[#This Row],[h_hargasebelumdiskon]]-Table1[[#This Row],[h_disc 1]])*Table1[[#This Row],[Column15]]))</f>
        <v>0</v>
      </c>
      <c r="AB18" s="237">
        <f>IF(Table1[[#This Row],[Column12]]="","",Table1[[#This Row],[h_disc 1]]+Table1[[#This Row],[h_disc 2]])</f>
        <v>0</v>
      </c>
      <c r="AC18" s="237">
        <f>IF(Table1[[#This Row],[Column12]]="","",Table1[[#This Row],[h_hargasebelumdiskon]]-Table1[[#This Row],[h_diskon]])</f>
        <v>99984</v>
      </c>
      <c r="AD18" s="237" t="str">
        <f ca="1">IF(Table1[[#This Row],[//]]="","",SUMIF(Table1[h_id],Table1[[#This Row],[h_id]],Table1[h_hargasetelahdiskon]))</f>
        <v/>
      </c>
      <c r="AF18" s="237" t="str">
        <f>Table1[[#This Row],[Column12]]&amp;Table1[[#This Row],[Unit]]&amp;Table1[[#This Row],[Column13]]</f>
        <v>GEL PEN VANCO VC-1609PCS2083</v>
      </c>
      <c r="AG18"/>
      <c r="AH18"/>
      <c r="AI18"/>
    </row>
    <row r="19" spans="1:35">
      <c r="A19" s="234" t="str">
        <f ca="1">IF(Table1[[#This Row],[No. Invoice :]]="","",ROW())</f>
        <v/>
      </c>
      <c r="B19" s="441" t="str">
        <f ca="1">IF(Table1[[#This Row],[Column3]]="","",B$1+COUNT(INDIRECT("B$2:B"&amp;ROW()-1)))</f>
        <v/>
      </c>
      <c r="C19" s="235" t="str">
        <f>IF(Table1[[#This Row],[Column2]]="","",Table1[[#This Row],[Column2]]+C$1-1)</f>
        <v/>
      </c>
      <c r="D19" s="442"/>
      <c r="E19" s="443"/>
      <c r="F19" s="441"/>
      <c r="G19" s="234" t="str">
        <f ca="1">IF(Table1[[#This Row],[h_No. Invoice :]]="","",CONCATENATE("AM"," ",Table1[[#This Row],[h_No. Invoice :]]))</f>
        <v/>
      </c>
      <c r="H19" s="441" t="str">
        <f>IF(Table1[[#This Row],[Column5]]="","",INDEX(Table2[Column1],MATCH(Table1[[#This Row],[Column5]],Table2[a],0)))</f>
        <v/>
      </c>
      <c r="I19" s="234" t="str">
        <f>IF(Table1[[#This Row],[Column3]]=0,"",CONCATENATE(UPPER(Table1[[#This Row],[Column3]])," ",Table1[[#This Row],[Column4]]))</f>
        <v xml:space="preserve"> </v>
      </c>
      <c r="J19" s="234" t="str">
        <f>IF(Table1[[#This Row],[Column5]]="","",INDEX(Table2[e],IF(Table1[[#This Row],[Column5]]="","",MATCH(Table1[[#This Row],[Column5]],Table2[a],0)),))</f>
        <v/>
      </c>
      <c r="K19" s="234"/>
      <c r="L19" s="234"/>
      <c r="N19" s="441"/>
      <c r="O19" s="441" t="str">
        <f>IF(Table1[[#This Row],[h_Item Description]]="","",INDEX([1]!db[NB PAJAK],MATCH(Table1[[#This Row],[h_Item Description]],[1]!db[kode],0)))</f>
        <v/>
      </c>
      <c r="Q19" s="237"/>
      <c r="R19" s="238"/>
      <c r="S19" s="238"/>
      <c r="T19" s="444" t="str">
        <f>Table1[[#This Row],[h_hargasetelahdiskon]]</f>
        <v/>
      </c>
      <c r="V19" s="234"/>
      <c r="W19" s="234" t="str">
        <f ca="1">IF(Table1[[#This Row],[Column12]]="","",IF(Table1[[#This Row],[//]]="",INDIRECT(ADDRESS(ROW()-1,COLUMN())),Table1[[#This Row],[//]]))</f>
        <v/>
      </c>
      <c r="X19" s="234" t="str">
        <f ca="1">IF(Table1[[#This Row],[h_id]]="","",COUNTIF(Table1[h_id],Table1[[#This Row],[h_id]]))</f>
        <v/>
      </c>
      <c r="Y19" s="237" t="str">
        <f>IF(Table1[[#This Row],[Column12]]="","",Table1[[#This Row],[Qty]]*Table1[[#This Row],[Column13]])</f>
        <v/>
      </c>
      <c r="Z19" s="444" t="str">
        <f>IF(Table1[[#This Row],[h_hargasebelumdiskon]]="","",IF(Table1[[#This Row],[Column14]]="",0,Table1[[#This Row],[h_hargasebelumdiskon]]*Table1[[#This Row],[Column14]]))</f>
        <v/>
      </c>
      <c r="AA19" s="444" t="str">
        <f>IF(Table1[[#This Row],[h_hargasebelumdiskon]]="","",IF(Table1[[#This Row],[Column15]]="",0,(Table1[[#This Row],[h_hargasebelumdiskon]]-Table1[[#This Row],[h_disc 1]])*Table1[[#This Row],[Column15]]))</f>
        <v/>
      </c>
      <c r="AB19" s="237" t="str">
        <f>IF(Table1[[#This Row],[Column12]]="","",Table1[[#This Row],[h_disc 1]]+Table1[[#This Row],[h_disc 2]])</f>
        <v/>
      </c>
      <c r="AC19" s="237" t="str">
        <f>IF(Table1[[#This Row],[Column12]]="","",Table1[[#This Row],[h_hargasebelumdiskon]]-Table1[[#This Row],[h_diskon]])</f>
        <v/>
      </c>
      <c r="AD19" s="237" t="str">
        <f ca="1">IF(Table1[[#This Row],[//]]="","",SUMIF(Table1[h_id],Table1[[#This Row],[h_id]],Table1[h_hargasetelahdiskon]))</f>
        <v/>
      </c>
      <c r="AF19" s="237" t="str">
        <f>Table1[[#This Row],[Column12]]&amp;Table1[[#This Row],[Unit]]&amp;Table1[[#This Row],[Column13]]</f>
        <v/>
      </c>
      <c r="AG19"/>
      <c r="AH19"/>
      <c r="AI19"/>
    </row>
    <row r="20" spans="1:35">
      <c r="A20" s="234">
        <f ca="1">IF(Table1[[#This Row],[No. Invoice :]]="","",ROW())</f>
        <v>20</v>
      </c>
      <c r="B20" s="437">
        <f ca="1">IF(Table1[[#This Row],[Column3]]="","",B$1+COUNT(INDIRECT("B$2:B"&amp;ROW()-1)))</f>
        <v>24050004</v>
      </c>
      <c r="C20" s="235">
        <f>IF(Table1[[#This Row],[Column2]]="","",Table1[[#This Row],[Column2]]+C$1-1)</f>
        <v>45416</v>
      </c>
      <c r="D20" s="438">
        <v>4</v>
      </c>
      <c r="E20" s="236" t="s">
        <v>214</v>
      </c>
      <c r="F20" s="234" t="s">
        <v>215</v>
      </c>
      <c r="G20" s="234" t="str">
        <f ca="1">IF(Table1[[#This Row],[h_No. Invoice :]]="","",CONCATENATE("AM"," ",Table1[[#This Row],[h_No. Invoice :]]))</f>
        <v>AM 24050004</v>
      </c>
      <c r="H20" s="437" t="str">
        <f>IF(Table1[[#This Row],[Column5]]="","",INDEX(Table2[Column1],MATCH(Table1[[#This Row],[Column5]],Table2[a],0)))</f>
        <v>G</v>
      </c>
      <c r="I20" s="234" t="str">
        <f>IF(Table1[[#This Row],[Column3]]=0,"",CONCATENATE(UPPER(Table1[[#This Row],[Column3]])," ",Table1[[#This Row],[Column4]]))</f>
        <v>G 4714</v>
      </c>
      <c r="J20" s="234" t="str">
        <f>IF(Table1[[#This Row],[Column5]]="","",INDEX(Table2[e],IF(Table1[[#This Row],[Column5]]="","",MATCH(Table1[[#This Row],[Column5]],Table2[a],0)),))</f>
        <v>PT.HASTA KENCANA SAKTI ( TRIO PLAZA ) MAGELANG</v>
      </c>
      <c r="K20" s="234">
        <v>12</v>
      </c>
      <c r="L20" s="234" t="s">
        <v>197</v>
      </c>
      <c r="N20" s="234" t="s">
        <v>216</v>
      </c>
      <c r="O20" s="437" t="str">
        <f>IF(Table1[[#This Row],[h_Item Description]]="","",INDEX([1]!db[NB PAJAK],MATCH(Table1[[#This Row],[h_Item Description]],[1]!db[kode],0)))</f>
        <v>CRAYON / OIL PASTEL JOYKO OP-12S PP CASE SEA WORLD</v>
      </c>
      <c r="P20" s="234" t="s">
        <v>220</v>
      </c>
      <c r="Q20" s="237">
        <v>12300</v>
      </c>
      <c r="R20" s="238"/>
      <c r="S20" s="238"/>
      <c r="T20" s="440">
        <f>Table1[[#This Row],[h_hargasetelahdiskon]]</f>
        <v>147600</v>
      </c>
      <c r="U20" s="237" t="s">
        <v>129</v>
      </c>
      <c r="V20" s="234"/>
      <c r="W20" s="234">
        <f ca="1">IF(Table1[[#This Row],[Column12]]="","",IF(Table1[[#This Row],[//]]="",INDIRECT(ADDRESS(ROW()-1,COLUMN())),Table1[[#This Row],[//]]))</f>
        <v>20</v>
      </c>
      <c r="X20" s="234">
        <f ca="1">IF(Table1[[#This Row],[h_id]]="","",COUNTIF(Table1[h_id],Table1[[#This Row],[h_id]]))</f>
        <v>4</v>
      </c>
      <c r="Y20" s="237">
        <f>IF(Table1[[#This Row],[Column12]]="","",Table1[[#This Row],[Qty]]*Table1[[#This Row],[Column13]])</f>
        <v>147600</v>
      </c>
      <c r="Z20" s="440">
        <f>IF(Table1[[#This Row],[h_hargasebelumdiskon]]="","",IF(Table1[[#This Row],[Column14]]="",0,Table1[[#This Row],[h_hargasebelumdiskon]]*Table1[[#This Row],[Column14]]))</f>
        <v>0</v>
      </c>
      <c r="AA20" s="440">
        <f>IF(Table1[[#This Row],[h_hargasebelumdiskon]]="","",IF(Table1[[#This Row],[Column15]]="",0,(Table1[[#This Row],[h_hargasebelumdiskon]]-Table1[[#This Row],[h_disc 1]])*Table1[[#This Row],[Column15]]))</f>
        <v>0</v>
      </c>
      <c r="AB20" s="237">
        <f>IF(Table1[[#This Row],[Column12]]="","",Table1[[#This Row],[h_disc 1]]+Table1[[#This Row],[h_disc 2]])</f>
        <v>0</v>
      </c>
      <c r="AC20" s="237">
        <f>IF(Table1[[#This Row],[Column12]]="","",Table1[[#This Row],[h_hargasebelumdiskon]]-Table1[[#This Row],[h_diskon]])</f>
        <v>147600</v>
      </c>
      <c r="AD20" s="237">
        <f ca="1">IF(Table1[[#This Row],[//]]="","",SUMIF(Table1[h_id],Table1[[#This Row],[h_id]],Table1[h_hargasetelahdiskon]))</f>
        <v>663900</v>
      </c>
      <c r="AF20" s="237" t="str">
        <f>Table1[[#This Row],[Column12]]&amp;Table1[[#This Row],[Unit]]&amp;Table1[[#This Row],[Column13]]</f>
        <v>CRAYON / OIL PASTEL JOYKO OP-12S PP CASE SEA WORLDPCS12300</v>
      </c>
      <c r="AG20"/>
      <c r="AH20"/>
      <c r="AI20"/>
    </row>
    <row r="21" spans="1:35">
      <c r="A21" s="234" t="str">
        <f ca="1">IF(Table1[[#This Row],[No. Invoice :]]="","",ROW())</f>
        <v/>
      </c>
      <c r="B21" s="437" t="str">
        <f ca="1">IF(Table1[[#This Row],[Column3]]="","",B$1+COUNT(INDIRECT("B$2:B"&amp;ROW()-1)))</f>
        <v/>
      </c>
      <c r="C21" s="235" t="str">
        <f>IF(Table1[[#This Row],[Column2]]="","",Table1[[#This Row],[Column2]]+C$1-1)</f>
        <v/>
      </c>
      <c r="D21" s="438"/>
      <c r="E21" s="439"/>
      <c r="F21" s="437"/>
      <c r="G21" s="234" t="str">
        <f ca="1">IF(Table1[[#This Row],[h_No. Invoice :]]="","",CONCATENATE("AM"," ",Table1[[#This Row],[h_No. Invoice :]]))</f>
        <v/>
      </c>
      <c r="H21" s="437" t="str">
        <f>IF(Table1[[#This Row],[Column5]]="","",INDEX(Table2[Column1],MATCH(Table1[[#This Row],[Column5]],Table2[a],0)))</f>
        <v/>
      </c>
      <c r="I21" s="234" t="str">
        <f>IF(Table1[[#This Row],[Column3]]=0,"",CONCATENATE(UPPER(Table1[[#This Row],[Column3]])," ",Table1[[#This Row],[Column4]]))</f>
        <v xml:space="preserve"> </v>
      </c>
      <c r="J21" s="234" t="str">
        <f>IF(Table1[[#This Row],[Column5]]="","",INDEX(Table2[e],IF(Table1[[#This Row],[Column5]]="","",MATCH(Table1[[#This Row],[Column5]],Table2[a],0)),))</f>
        <v/>
      </c>
      <c r="K21" s="234">
        <v>3</v>
      </c>
      <c r="L21" s="234" t="s">
        <v>197</v>
      </c>
      <c r="N21" s="234" t="s">
        <v>217</v>
      </c>
      <c r="O21" s="437" t="str">
        <f>IF(Table1[[#This Row],[h_Item Description]]="","",INDEX([1]!db[NB PAJAK],MATCH(Table1[[#This Row],[h_Item Description]],[1]!db[kode],0)))</f>
        <v>CRAYON / OIL PASTEL JOYKO OP-36S PP CASE SEA WORLD</v>
      </c>
      <c r="P21" s="234" t="s">
        <v>221</v>
      </c>
      <c r="Q21" s="237">
        <v>42700</v>
      </c>
      <c r="R21" s="238"/>
      <c r="S21" s="238"/>
      <c r="T21" s="440">
        <f>Table1[[#This Row],[h_hargasetelahdiskon]]</f>
        <v>128100</v>
      </c>
      <c r="V21" s="234"/>
      <c r="W21" s="234">
        <f ca="1">IF(Table1[[#This Row],[Column12]]="","",IF(Table1[[#This Row],[//]]="",INDIRECT(ADDRESS(ROW()-1,COLUMN())),Table1[[#This Row],[//]]))</f>
        <v>20</v>
      </c>
      <c r="X21" s="234">
        <f ca="1">IF(Table1[[#This Row],[h_id]]="","",COUNTIF(Table1[h_id],Table1[[#This Row],[h_id]]))</f>
        <v>4</v>
      </c>
      <c r="Y21" s="237">
        <f>IF(Table1[[#This Row],[Column12]]="","",Table1[[#This Row],[Qty]]*Table1[[#This Row],[Column13]])</f>
        <v>128100</v>
      </c>
      <c r="Z21" s="440">
        <f>IF(Table1[[#This Row],[h_hargasebelumdiskon]]="","",IF(Table1[[#This Row],[Column14]]="",0,Table1[[#This Row],[h_hargasebelumdiskon]]*Table1[[#This Row],[Column14]]))</f>
        <v>0</v>
      </c>
      <c r="AA21" s="440">
        <f>IF(Table1[[#This Row],[h_hargasebelumdiskon]]="","",IF(Table1[[#This Row],[Column15]]="",0,(Table1[[#This Row],[h_hargasebelumdiskon]]-Table1[[#This Row],[h_disc 1]])*Table1[[#This Row],[Column15]]))</f>
        <v>0</v>
      </c>
      <c r="AB21" s="237">
        <f>IF(Table1[[#This Row],[Column12]]="","",Table1[[#This Row],[h_disc 1]]+Table1[[#This Row],[h_disc 2]])</f>
        <v>0</v>
      </c>
      <c r="AC21" s="237">
        <f>IF(Table1[[#This Row],[Column12]]="","",Table1[[#This Row],[h_hargasebelumdiskon]]-Table1[[#This Row],[h_diskon]])</f>
        <v>128100</v>
      </c>
      <c r="AD21" s="237" t="str">
        <f ca="1">IF(Table1[[#This Row],[//]]="","",SUMIF(Table1[h_id],Table1[[#This Row],[h_id]],Table1[h_hargasetelahdiskon]))</f>
        <v/>
      </c>
      <c r="AF21" s="237" t="str">
        <f>Table1[[#This Row],[Column12]]&amp;Table1[[#This Row],[Unit]]&amp;Table1[[#This Row],[Column13]]</f>
        <v>CRAYON / OIL PASTEL JOYKO OP-36S PP CASE SEA WORLDPCS42700</v>
      </c>
      <c r="AG21"/>
      <c r="AH21"/>
      <c r="AI21"/>
    </row>
    <row r="22" spans="1:35">
      <c r="A22" s="234" t="str">
        <f ca="1">IF(Table1[[#This Row],[No. Invoice :]]="","",ROW())</f>
        <v/>
      </c>
      <c r="B22" s="437" t="str">
        <f ca="1">IF(Table1[[#This Row],[Column3]]="","",B$1+COUNT(INDIRECT("B$2:B"&amp;ROW()-1)))</f>
        <v/>
      </c>
      <c r="C22" s="235" t="str">
        <f>IF(Table1[[#This Row],[Column2]]="","",Table1[[#This Row],[Column2]]+C$1-1)</f>
        <v/>
      </c>
      <c r="D22" s="438"/>
      <c r="E22" s="439"/>
      <c r="F22" s="437"/>
      <c r="G22" s="234" t="str">
        <f ca="1">IF(Table1[[#This Row],[h_No. Invoice :]]="","",CONCATENATE("AM"," ",Table1[[#This Row],[h_No. Invoice :]]))</f>
        <v/>
      </c>
      <c r="H22" s="437" t="str">
        <f>IF(Table1[[#This Row],[Column5]]="","",INDEX(Table2[Column1],MATCH(Table1[[#This Row],[Column5]],Table2[a],0)))</f>
        <v/>
      </c>
      <c r="I22" s="234" t="str">
        <f>IF(Table1[[#This Row],[Column3]]=0,"",CONCATENATE(UPPER(Table1[[#This Row],[Column3]])," ",Table1[[#This Row],[Column4]]))</f>
        <v xml:space="preserve"> </v>
      </c>
      <c r="J22" s="234" t="str">
        <f>IF(Table1[[#This Row],[Column5]]="","",INDEX(Table2[e],IF(Table1[[#This Row],[Column5]]="","",MATCH(Table1[[#This Row],[Column5]],Table2[a],0)),))</f>
        <v/>
      </c>
      <c r="K22" s="234">
        <v>3</v>
      </c>
      <c r="L22" s="234" t="s">
        <v>197</v>
      </c>
      <c r="N22" s="234" t="s">
        <v>218</v>
      </c>
      <c r="O22" s="437" t="str">
        <f>IF(Table1[[#This Row],[h_Item Description]]="","",INDEX([1]!db[NB PAJAK],MATCH(Table1[[#This Row],[h_Item Description]],[1]!db[kode],0)))</f>
        <v>CRAYON / OIL PASTEL JOYKO OP-48S PP CASE SEA WORLD</v>
      </c>
      <c r="P22" s="234" t="s">
        <v>222</v>
      </c>
      <c r="Q22" s="237">
        <v>60700</v>
      </c>
      <c r="R22" s="238"/>
      <c r="S22" s="238"/>
      <c r="T22" s="440">
        <f>Table1[[#This Row],[h_hargasetelahdiskon]]</f>
        <v>182100</v>
      </c>
      <c r="V22" s="234"/>
      <c r="W22" s="234">
        <f ca="1">IF(Table1[[#This Row],[Column12]]="","",IF(Table1[[#This Row],[//]]="",INDIRECT(ADDRESS(ROW()-1,COLUMN())),Table1[[#This Row],[//]]))</f>
        <v>20</v>
      </c>
      <c r="X22" s="234">
        <f ca="1">IF(Table1[[#This Row],[h_id]]="","",COUNTIF(Table1[h_id],Table1[[#This Row],[h_id]]))</f>
        <v>4</v>
      </c>
      <c r="Y22" s="237">
        <f>IF(Table1[[#This Row],[Column12]]="","",Table1[[#This Row],[Qty]]*Table1[[#This Row],[Column13]])</f>
        <v>182100</v>
      </c>
      <c r="Z22" s="440">
        <f>IF(Table1[[#This Row],[h_hargasebelumdiskon]]="","",IF(Table1[[#This Row],[Column14]]="",0,Table1[[#This Row],[h_hargasebelumdiskon]]*Table1[[#This Row],[Column14]]))</f>
        <v>0</v>
      </c>
      <c r="AA22" s="440">
        <f>IF(Table1[[#This Row],[h_hargasebelumdiskon]]="","",IF(Table1[[#This Row],[Column15]]="",0,(Table1[[#This Row],[h_hargasebelumdiskon]]-Table1[[#This Row],[h_disc 1]])*Table1[[#This Row],[Column15]]))</f>
        <v>0</v>
      </c>
      <c r="AB22" s="237">
        <f>IF(Table1[[#This Row],[Column12]]="","",Table1[[#This Row],[h_disc 1]]+Table1[[#This Row],[h_disc 2]])</f>
        <v>0</v>
      </c>
      <c r="AC22" s="237">
        <f>IF(Table1[[#This Row],[Column12]]="","",Table1[[#This Row],[h_hargasebelumdiskon]]-Table1[[#This Row],[h_diskon]])</f>
        <v>182100</v>
      </c>
      <c r="AD22" s="237" t="str">
        <f ca="1">IF(Table1[[#This Row],[//]]="","",SUMIF(Table1[h_id],Table1[[#This Row],[h_id]],Table1[h_hargasetelahdiskon]))</f>
        <v/>
      </c>
      <c r="AF22" s="237" t="str">
        <f>Table1[[#This Row],[Column12]]&amp;Table1[[#This Row],[Unit]]&amp;Table1[[#This Row],[Column13]]</f>
        <v>CRAYON / OIL PASTEL JOYKO OP-48S PP CASE SEA WORLDPCS60700</v>
      </c>
      <c r="AG22"/>
      <c r="AH22"/>
      <c r="AI22"/>
    </row>
    <row r="23" spans="1:35">
      <c r="A23" s="234" t="str">
        <f ca="1">IF(Table1[[#This Row],[No. Invoice :]]="","",ROW())</f>
        <v/>
      </c>
      <c r="B23" s="437" t="str">
        <f ca="1">IF(Table1[[#This Row],[Column3]]="","",B$1+COUNT(INDIRECT("B$2:B"&amp;ROW()-1)))</f>
        <v/>
      </c>
      <c r="C23" s="235" t="str">
        <f>IF(Table1[[#This Row],[Column2]]="","",Table1[[#This Row],[Column2]]+C$1-1)</f>
        <v/>
      </c>
      <c r="D23" s="438"/>
      <c r="E23" s="439"/>
      <c r="F23" s="437"/>
      <c r="G23" s="234" t="str">
        <f ca="1">IF(Table1[[#This Row],[h_No. Invoice :]]="","",CONCATENATE("AM"," ",Table1[[#This Row],[h_No. Invoice :]]))</f>
        <v/>
      </c>
      <c r="H23" s="437" t="str">
        <f>IF(Table1[[#This Row],[Column5]]="","",INDEX(Table2[Column1],MATCH(Table1[[#This Row],[Column5]],Table2[a],0)))</f>
        <v/>
      </c>
      <c r="I23" s="234" t="str">
        <f>IF(Table1[[#This Row],[Column3]]=0,"",CONCATENATE(UPPER(Table1[[#This Row],[Column3]])," ",Table1[[#This Row],[Column4]]))</f>
        <v xml:space="preserve"> </v>
      </c>
      <c r="J23" s="234" t="str">
        <f>IF(Table1[[#This Row],[Column5]]="","",INDEX(Table2[e],IF(Table1[[#This Row],[Column5]]="","",MATCH(Table1[[#This Row],[Column5]],Table2[a],0)),))</f>
        <v/>
      </c>
      <c r="K23" s="234">
        <v>3</v>
      </c>
      <c r="L23" s="234" t="s">
        <v>197</v>
      </c>
      <c r="N23" s="234" t="s">
        <v>219</v>
      </c>
      <c r="O23" s="437" t="str">
        <f>IF(Table1[[#This Row],[h_Item Description]]="","",INDEX([1]!db[NB PAJAK],MATCH(Table1[[#This Row],[h_Item Description]],[1]!db[kode],0)))</f>
        <v>CRAYON / OIL PASTEL JOYKO OP-55S PP CASE SEA WORLD</v>
      </c>
      <c r="P23" s="234" t="s">
        <v>223</v>
      </c>
      <c r="Q23" s="237">
        <v>68700</v>
      </c>
      <c r="R23" s="238"/>
      <c r="S23" s="238"/>
      <c r="T23" s="440">
        <f>Table1[[#This Row],[h_hargasetelahdiskon]]</f>
        <v>206100</v>
      </c>
      <c r="V23" s="234"/>
      <c r="W23" s="234">
        <f ca="1">IF(Table1[[#This Row],[Column12]]="","",IF(Table1[[#This Row],[//]]="",INDIRECT(ADDRESS(ROW()-1,COLUMN())),Table1[[#This Row],[//]]))</f>
        <v>20</v>
      </c>
      <c r="X23" s="234">
        <f ca="1">IF(Table1[[#This Row],[h_id]]="","",COUNTIF(Table1[h_id],Table1[[#This Row],[h_id]]))</f>
        <v>4</v>
      </c>
      <c r="Y23" s="237">
        <f>IF(Table1[[#This Row],[Column12]]="","",Table1[[#This Row],[Qty]]*Table1[[#This Row],[Column13]])</f>
        <v>206100</v>
      </c>
      <c r="Z23" s="440">
        <f>IF(Table1[[#This Row],[h_hargasebelumdiskon]]="","",IF(Table1[[#This Row],[Column14]]="",0,Table1[[#This Row],[h_hargasebelumdiskon]]*Table1[[#This Row],[Column14]]))</f>
        <v>0</v>
      </c>
      <c r="AA23" s="440">
        <f>IF(Table1[[#This Row],[h_hargasebelumdiskon]]="","",IF(Table1[[#This Row],[Column15]]="",0,(Table1[[#This Row],[h_hargasebelumdiskon]]-Table1[[#This Row],[h_disc 1]])*Table1[[#This Row],[Column15]]))</f>
        <v>0</v>
      </c>
      <c r="AB23" s="237">
        <f>IF(Table1[[#This Row],[Column12]]="","",Table1[[#This Row],[h_disc 1]]+Table1[[#This Row],[h_disc 2]])</f>
        <v>0</v>
      </c>
      <c r="AC23" s="237">
        <f>IF(Table1[[#This Row],[Column12]]="","",Table1[[#This Row],[h_hargasebelumdiskon]]-Table1[[#This Row],[h_diskon]])</f>
        <v>206100</v>
      </c>
      <c r="AD23" s="237" t="str">
        <f ca="1">IF(Table1[[#This Row],[//]]="","",SUMIF(Table1[h_id],Table1[[#This Row],[h_id]],Table1[h_hargasetelahdiskon]))</f>
        <v/>
      </c>
      <c r="AF23" s="237" t="str">
        <f>Table1[[#This Row],[Column12]]&amp;Table1[[#This Row],[Unit]]&amp;Table1[[#This Row],[Column13]]</f>
        <v>CRAYON / OIL PASTEL JOYKO OP-55S PP CASE SEA WORLDPCS68700</v>
      </c>
      <c r="AG23"/>
      <c r="AH23"/>
      <c r="AI23"/>
    </row>
    <row r="24" spans="1:35">
      <c r="A24" s="234" t="str">
        <f ca="1">IF(Table1[[#This Row],[No. Invoice :]]="","",ROW())</f>
        <v/>
      </c>
      <c r="B24" s="437" t="str">
        <f ca="1">IF(Table1[[#This Row],[Column3]]="","",B$1+COUNT(INDIRECT("B$2:B"&amp;ROW()-1)))</f>
        <v/>
      </c>
      <c r="C24" s="235" t="str">
        <f>IF(Table1[[#This Row],[Column2]]="","",Table1[[#This Row],[Column2]]+C$1-1)</f>
        <v/>
      </c>
      <c r="D24" s="438"/>
      <c r="E24" s="439"/>
      <c r="F24" s="437"/>
      <c r="G24" s="234" t="str">
        <f ca="1">IF(Table1[[#This Row],[h_No. Invoice :]]="","",CONCATENATE("AM"," ",Table1[[#This Row],[h_No. Invoice :]]))</f>
        <v/>
      </c>
      <c r="H24" s="437" t="str">
        <f>IF(Table1[[#This Row],[Column5]]="","",INDEX(Table2[Column1],MATCH(Table1[[#This Row],[Column5]],Table2[a],0)))</f>
        <v/>
      </c>
      <c r="I24" s="234" t="str">
        <f>IF(Table1[[#This Row],[Column3]]=0,"",CONCATENATE(UPPER(Table1[[#This Row],[Column3]])," ",Table1[[#This Row],[Column4]]))</f>
        <v xml:space="preserve"> </v>
      </c>
      <c r="J24" s="234" t="str">
        <f>IF(Table1[[#This Row],[Column5]]="","",INDEX(Table2[e],IF(Table1[[#This Row],[Column5]]="","",MATCH(Table1[[#This Row],[Column5]],Table2[a],0)),))</f>
        <v/>
      </c>
      <c r="K24" s="234"/>
      <c r="L24" s="234"/>
      <c r="N24" s="437"/>
      <c r="O24" s="437" t="str">
        <f>IF(Table1[[#This Row],[h_Item Description]]="","",INDEX([1]!db[NB PAJAK],MATCH(Table1[[#This Row],[h_Item Description]],[1]!db[kode],0)))</f>
        <v/>
      </c>
      <c r="Q24" s="237"/>
      <c r="R24" s="238"/>
      <c r="S24" s="238"/>
      <c r="T24" s="440" t="str">
        <f>Table1[[#This Row],[h_hargasetelahdiskon]]</f>
        <v/>
      </c>
      <c r="V24" s="234"/>
      <c r="W24" s="234" t="str">
        <f ca="1">IF(Table1[[#This Row],[Column12]]="","",IF(Table1[[#This Row],[//]]="",INDIRECT(ADDRESS(ROW()-1,COLUMN())),Table1[[#This Row],[//]]))</f>
        <v/>
      </c>
      <c r="X24" s="234" t="str">
        <f ca="1">IF(Table1[[#This Row],[h_id]]="","",COUNTIF(Table1[h_id],Table1[[#This Row],[h_id]]))</f>
        <v/>
      </c>
      <c r="Y24" s="237" t="str">
        <f>IF(Table1[[#This Row],[Column12]]="","",Table1[[#This Row],[Qty]]*Table1[[#This Row],[Column13]])</f>
        <v/>
      </c>
      <c r="Z24" s="440" t="str">
        <f>IF(Table1[[#This Row],[h_hargasebelumdiskon]]="","",IF(Table1[[#This Row],[Column14]]="",0,Table1[[#This Row],[h_hargasebelumdiskon]]*Table1[[#This Row],[Column14]]))</f>
        <v/>
      </c>
      <c r="AA24" s="440" t="str">
        <f>IF(Table1[[#This Row],[h_hargasebelumdiskon]]="","",IF(Table1[[#This Row],[Column15]]="",0,(Table1[[#This Row],[h_hargasebelumdiskon]]-Table1[[#This Row],[h_disc 1]])*Table1[[#This Row],[Column15]]))</f>
        <v/>
      </c>
      <c r="AB24" s="237" t="str">
        <f>IF(Table1[[#This Row],[Column12]]="","",Table1[[#This Row],[h_disc 1]]+Table1[[#This Row],[h_disc 2]])</f>
        <v/>
      </c>
      <c r="AC24" s="237" t="str">
        <f>IF(Table1[[#This Row],[Column12]]="","",Table1[[#This Row],[h_hargasebelumdiskon]]-Table1[[#This Row],[h_diskon]])</f>
        <v/>
      </c>
      <c r="AD24" s="237" t="str">
        <f ca="1">IF(Table1[[#This Row],[//]]="","",SUMIF(Table1[h_id],Table1[[#This Row],[h_id]],Table1[h_hargasetelahdiskon]))</f>
        <v/>
      </c>
      <c r="AF24" s="237" t="str">
        <f>Table1[[#This Row],[Column12]]&amp;Table1[[#This Row],[Unit]]&amp;Table1[[#This Row],[Column13]]</f>
        <v/>
      </c>
      <c r="AG24"/>
      <c r="AH24"/>
      <c r="AI24"/>
    </row>
    <row r="25" spans="1:35">
      <c r="A25" s="234">
        <f ca="1">IF(Table1[[#This Row],[No. Invoice :]]="","",ROW())</f>
        <v>25</v>
      </c>
      <c r="B25" s="437">
        <f ca="1">IF(Table1[[#This Row],[Column3]]="","",B$1+COUNT(INDIRECT("B$2:B"&amp;ROW()-1)))</f>
        <v>24050005</v>
      </c>
      <c r="C25" s="235">
        <f>IF(Table1[[#This Row],[Column2]]="","",Table1[[#This Row],[Column2]]+C$1-1)</f>
        <v>45419</v>
      </c>
      <c r="D25" s="438">
        <v>7</v>
      </c>
      <c r="E25" s="236" t="s">
        <v>230</v>
      </c>
      <c r="F25" s="234" t="s">
        <v>90</v>
      </c>
      <c r="G25" s="234" t="str">
        <f ca="1">IF(Table1[[#This Row],[h_No. Invoice :]]="","",CONCATENATE("AM"," ",Table1[[#This Row],[h_No. Invoice :]]))</f>
        <v>AM 24050005</v>
      </c>
      <c r="H25" s="437" t="str">
        <f>IF(Table1[[#This Row],[Column5]]="","",INDEX(Table2[Column1],MATCH(Table1[[#This Row],[Column5]],Table2[a],0)))</f>
        <v>KO</v>
      </c>
      <c r="I25" s="234" t="str">
        <f>IF(Table1[[#This Row],[Column3]]=0,"",CONCATENATE(UPPER(Table1[[#This Row],[Column3]])," ",Table1[[#This Row],[Column4]]))</f>
        <v>KO 3119</v>
      </c>
      <c r="J25" s="234" t="str">
        <f>IF(Table1[[#This Row],[Column5]]="","",INDEX(Table2[e],IF(Table1[[#This Row],[Column5]]="","",MATCH(Table1[[#This Row],[Column5]],Table2[a],0)),))</f>
        <v>CV LANCAR JAYA SENTOSA MALANG</v>
      </c>
      <c r="K25" s="234">
        <v>1440</v>
      </c>
      <c r="L25" s="234" t="s">
        <v>197</v>
      </c>
      <c r="M25" s="234">
        <v>2</v>
      </c>
      <c r="N25" s="234" t="s">
        <v>231</v>
      </c>
      <c r="O25" s="437" t="str">
        <f>IF(Table1[[#This Row],[h_Item Description]]="","",INDEX([1]!db[NB PAJAK],MATCH(Table1[[#This Row],[h_Item Description]],[1]!db[kode],0)))</f>
        <v>CORRECTION TAPE JOYKO CT-522</v>
      </c>
      <c r="P25" s="234" t="s">
        <v>235</v>
      </c>
      <c r="Q25" s="237">
        <v>4300</v>
      </c>
      <c r="R25" s="238">
        <v>0.125</v>
      </c>
      <c r="S25" s="238"/>
      <c r="T25" s="440">
        <f>Table1[[#This Row],[h_hargasetelahdiskon]]</f>
        <v>5418000</v>
      </c>
      <c r="U25" s="237" t="s">
        <v>239</v>
      </c>
      <c r="V25" s="234"/>
      <c r="W25" s="234">
        <f ca="1">IF(Table1[[#This Row],[Column12]]="","",IF(Table1[[#This Row],[//]]="",INDIRECT(ADDRESS(ROW()-1,COLUMN())),Table1[[#This Row],[//]]))</f>
        <v>25</v>
      </c>
      <c r="X25" s="234">
        <f ca="1">IF(Table1[[#This Row],[h_id]]="","",COUNTIF(Table1[h_id],Table1[[#This Row],[h_id]]))</f>
        <v>4</v>
      </c>
      <c r="Y25" s="237">
        <f>IF(Table1[[#This Row],[Column12]]="","",Table1[[#This Row],[Qty]]*Table1[[#This Row],[Column13]])</f>
        <v>6192000</v>
      </c>
      <c r="Z25" s="440">
        <f>IF(Table1[[#This Row],[h_hargasebelumdiskon]]="","",IF(Table1[[#This Row],[Column14]]="",0,Table1[[#This Row],[h_hargasebelumdiskon]]*Table1[[#This Row],[Column14]]))</f>
        <v>774000</v>
      </c>
      <c r="AA25" s="440">
        <f>IF(Table1[[#This Row],[h_hargasebelumdiskon]]="","",IF(Table1[[#This Row],[Column15]]="",0,(Table1[[#This Row],[h_hargasebelumdiskon]]-Table1[[#This Row],[h_disc 1]])*Table1[[#This Row],[Column15]]))</f>
        <v>0</v>
      </c>
      <c r="AB25" s="237">
        <f>IF(Table1[[#This Row],[Column12]]="","",Table1[[#This Row],[h_disc 1]]+Table1[[#This Row],[h_disc 2]])</f>
        <v>774000</v>
      </c>
      <c r="AC25" s="237">
        <f>IF(Table1[[#This Row],[Column12]]="","",Table1[[#This Row],[h_hargasebelumdiskon]]-Table1[[#This Row],[h_diskon]])</f>
        <v>5418000</v>
      </c>
      <c r="AD25" s="237">
        <f ca="1">IF(Table1[[#This Row],[//]]="","",SUMIF(Table1[h_id],Table1[[#This Row],[h_id]],Table1[h_hargasetelahdiskon]))</f>
        <v>15258250</v>
      </c>
      <c r="AF25" s="237" t="str">
        <f>Table1[[#This Row],[Column12]]&amp;Table1[[#This Row],[Unit]]&amp;Table1[[#This Row],[Column13]]</f>
        <v>CORRECTION TAPE JOYKO CT-522PCS4300</v>
      </c>
      <c r="AG25"/>
      <c r="AH25"/>
      <c r="AI25"/>
    </row>
    <row r="26" spans="1:35">
      <c r="A26" s="234" t="str">
        <f ca="1">IF(Table1[[#This Row],[No. Invoice :]]="","",ROW())</f>
        <v/>
      </c>
      <c r="B26" s="437" t="str">
        <f ca="1">IF(Table1[[#This Row],[Column3]]="","",B$1+COUNT(INDIRECT("B$2:B"&amp;ROW()-1)))</f>
        <v/>
      </c>
      <c r="C26" s="235" t="str">
        <f>IF(Table1[[#This Row],[Column2]]="","",Table1[[#This Row],[Column2]]+C$1-1)</f>
        <v/>
      </c>
      <c r="D26" s="438"/>
      <c r="E26" s="439"/>
      <c r="F26" s="437"/>
      <c r="G26" s="234" t="str">
        <f ca="1">IF(Table1[[#This Row],[h_No. Invoice :]]="","",CONCATENATE("AM"," ",Table1[[#This Row],[h_No. Invoice :]]))</f>
        <v/>
      </c>
      <c r="H26" s="437" t="str">
        <f>IF(Table1[[#This Row],[Column5]]="","",INDEX(Table2[Column1],MATCH(Table1[[#This Row],[Column5]],Table2[a],0)))</f>
        <v/>
      </c>
      <c r="I26" s="234" t="str">
        <f>IF(Table1[[#This Row],[Column3]]=0,"",CONCATENATE(UPPER(Table1[[#This Row],[Column3]])," ",Table1[[#This Row],[Column4]]))</f>
        <v xml:space="preserve"> </v>
      </c>
      <c r="J26" s="234" t="str">
        <f>IF(Table1[[#This Row],[Column5]]="","",INDEX(Table2[e],IF(Table1[[#This Row],[Column5]]="","",MATCH(Table1[[#This Row],[Column5]],Table2[a],0)),))</f>
        <v/>
      </c>
      <c r="K26" s="234">
        <v>200</v>
      </c>
      <c r="L26" s="234" t="s">
        <v>200</v>
      </c>
      <c r="M26" s="234">
        <v>4</v>
      </c>
      <c r="N26" s="234" t="s">
        <v>232</v>
      </c>
      <c r="O26" s="437" t="str">
        <f>IF(Table1[[#This Row],[h_Item Description]]="","",INDEX([1]!db[NB PAJAK],MATCH(Table1[[#This Row],[h_Item Description]],[1]!db[kode],0)))</f>
        <v>STIP / PENGHAPUS JOYKO 526-B40P PUTIH</v>
      </c>
      <c r="P26" s="234" t="s">
        <v>236</v>
      </c>
      <c r="Q26" s="237">
        <v>28300</v>
      </c>
      <c r="R26" s="238">
        <v>0.125</v>
      </c>
      <c r="S26" s="238"/>
      <c r="T26" s="440">
        <f>Table1[[#This Row],[h_hargasetelahdiskon]]</f>
        <v>4952500</v>
      </c>
      <c r="V26" s="234"/>
      <c r="W26" s="234">
        <f ca="1">IF(Table1[[#This Row],[Column12]]="","",IF(Table1[[#This Row],[//]]="",INDIRECT(ADDRESS(ROW()-1,COLUMN())),Table1[[#This Row],[//]]))</f>
        <v>25</v>
      </c>
      <c r="X26" s="234">
        <f ca="1">IF(Table1[[#This Row],[h_id]]="","",COUNTIF(Table1[h_id],Table1[[#This Row],[h_id]]))</f>
        <v>4</v>
      </c>
      <c r="Y26" s="237">
        <f>IF(Table1[[#This Row],[Column12]]="","",Table1[[#This Row],[Qty]]*Table1[[#This Row],[Column13]])</f>
        <v>5660000</v>
      </c>
      <c r="Z26" s="440">
        <f>IF(Table1[[#This Row],[h_hargasebelumdiskon]]="","",IF(Table1[[#This Row],[Column14]]="",0,Table1[[#This Row],[h_hargasebelumdiskon]]*Table1[[#This Row],[Column14]]))</f>
        <v>707500</v>
      </c>
      <c r="AA26" s="440">
        <f>IF(Table1[[#This Row],[h_hargasebelumdiskon]]="","",IF(Table1[[#This Row],[Column15]]="",0,(Table1[[#This Row],[h_hargasebelumdiskon]]-Table1[[#This Row],[h_disc 1]])*Table1[[#This Row],[Column15]]))</f>
        <v>0</v>
      </c>
      <c r="AB26" s="237">
        <f>IF(Table1[[#This Row],[Column12]]="","",Table1[[#This Row],[h_disc 1]]+Table1[[#This Row],[h_disc 2]])</f>
        <v>707500</v>
      </c>
      <c r="AC26" s="237">
        <f>IF(Table1[[#This Row],[Column12]]="","",Table1[[#This Row],[h_hargasebelumdiskon]]-Table1[[#This Row],[h_diskon]])</f>
        <v>4952500</v>
      </c>
      <c r="AD26" s="237" t="str">
        <f ca="1">IF(Table1[[#This Row],[//]]="","",SUMIF(Table1[h_id],Table1[[#This Row],[h_id]],Table1[h_hargasetelahdiskon]))</f>
        <v/>
      </c>
      <c r="AF26" s="237" t="str">
        <f>Table1[[#This Row],[Column12]]&amp;Table1[[#This Row],[Unit]]&amp;Table1[[#This Row],[Column13]]</f>
        <v>STIP / PENGHAPUS JOYKO 526-B40P PUTIHBOX28300</v>
      </c>
      <c r="AG26"/>
      <c r="AH26"/>
      <c r="AI26"/>
    </row>
    <row r="27" spans="1:35">
      <c r="A27" s="234" t="str">
        <f ca="1">IF(Table1[[#This Row],[No. Invoice :]]="","",ROW())</f>
        <v/>
      </c>
      <c r="B27" s="437" t="str">
        <f ca="1">IF(Table1[[#This Row],[Column3]]="","",B$1+COUNT(INDIRECT("B$2:B"&amp;ROW()-1)))</f>
        <v/>
      </c>
      <c r="C27" s="235" t="str">
        <f>IF(Table1[[#This Row],[Column2]]="","",Table1[[#This Row],[Column2]]+C$1-1)</f>
        <v/>
      </c>
      <c r="D27" s="438"/>
      <c r="E27" s="439"/>
      <c r="F27" s="437"/>
      <c r="G27" s="234" t="str">
        <f ca="1">IF(Table1[[#This Row],[h_No. Invoice :]]="","",CONCATENATE("AM"," ",Table1[[#This Row],[h_No. Invoice :]]))</f>
        <v/>
      </c>
      <c r="H27" s="437" t="str">
        <f>IF(Table1[[#This Row],[Column5]]="","",INDEX(Table2[Column1],MATCH(Table1[[#This Row],[Column5]],Table2[a],0)))</f>
        <v/>
      </c>
      <c r="I27" s="234" t="str">
        <f>IF(Table1[[#This Row],[Column3]]=0,"",CONCATENATE(UPPER(Table1[[#This Row],[Column3]])," ",Table1[[#This Row],[Column4]]))</f>
        <v xml:space="preserve"> </v>
      </c>
      <c r="J27" s="234" t="str">
        <f>IF(Table1[[#This Row],[Column5]]="","",INDEX(Table2[e],IF(Table1[[#This Row],[Column5]]="","",MATCH(Table1[[#This Row],[Column5]],Table2[a],0)),))</f>
        <v/>
      </c>
      <c r="K27" s="234">
        <v>120</v>
      </c>
      <c r="L27" s="234" t="s">
        <v>197</v>
      </c>
      <c r="M27" s="234">
        <v>1</v>
      </c>
      <c r="N27" s="234" t="s">
        <v>233</v>
      </c>
      <c r="O27" s="437" t="str">
        <f>IF(Table1[[#This Row],[h_Item Description]]="","",INDEX([1]!db[NB PAJAK],MATCH(Table1[[#This Row],[h_Item Description]],[1]!db[kode],0)))</f>
        <v>PUNCH JOYKO 30XL</v>
      </c>
      <c r="P27" s="234" t="s">
        <v>237</v>
      </c>
      <c r="Q27" s="237">
        <v>12950</v>
      </c>
      <c r="R27" s="238">
        <v>0.125</v>
      </c>
      <c r="S27" s="238"/>
      <c r="T27" s="440">
        <f>Table1[[#This Row],[h_hargasetelahdiskon]]</f>
        <v>1359750</v>
      </c>
      <c r="V27" s="234"/>
      <c r="W27" s="234">
        <f ca="1">IF(Table1[[#This Row],[Column12]]="","",IF(Table1[[#This Row],[//]]="",INDIRECT(ADDRESS(ROW()-1,COLUMN())),Table1[[#This Row],[//]]))</f>
        <v>25</v>
      </c>
      <c r="X27" s="234">
        <f ca="1">IF(Table1[[#This Row],[h_id]]="","",COUNTIF(Table1[h_id],Table1[[#This Row],[h_id]]))</f>
        <v>4</v>
      </c>
      <c r="Y27" s="237">
        <f>IF(Table1[[#This Row],[Column12]]="","",Table1[[#This Row],[Qty]]*Table1[[#This Row],[Column13]])</f>
        <v>1554000</v>
      </c>
      <c r="Z27" s="440">
        <f>IF(Table1[[#This Row],[h_hargasebelumdiskon]]="","",IF(Table1[[#This Row],[Column14]]="",0,Table1[[#This Row],[h_hargasebelumdiskon]]*Table1[[#This Row],[Column14]]))</f>
        <v>194250</v>
      </c>
      <c r="AA27" s="440">
        <f>IF(Table1[[#This Row],[h_hargasebelumdiskon]]="","",IF(Table1[[#This Row],[Column15]]="",0,(Table1[[#This Row],[h_hargasebelumdiskon]]-Table1[[#This Row],[h_disc 1]])*Table1[[#This Row],[Column15]]))</f>
        <v>0</v>
      </c>
      <c r="AB27" s="237">
        <f>IF(Table1[[#This Row],[Column12]]="","",Table1[[#This Row],[h_disc 1]]+Table1[[#This Row],[h_disc 2]])</f>
        <v>194250</v>
      </c>
      <c r="AC27" s="237">
        <f>IF(Table1[[#This Row],[Column12]]="","",Table1[[#This Row],[h_hargasebelumdiskon]]-Table1[[#This Row],[h_diskon]])</f>
        <v>1359750</v>
      </c>
      <c r="AD27" s="237" t="str">
        <f ca="1">IF(Table1[[#This Row],[//]]="","",SUMIF(Table1[h_id],Table1[[#This Row],[h_id]],Table1[h_hargasetelahdiskon]))</f>
        <v/>
      </c>
      <c r="AF27" s="237" t="str">
        <f>Table1[[#This Row],[Column12]]&amp;Table1[[#This Row],[Unit]]&amp;Table1[[#This Row],[Column13]]</f>
        <v>PUNCH JOYKO 30XLPCS12950</v>
      </c>
      <c r="AG27"/>
      <c r="AH27"/>
      <c r="AI27"/>
    </row>
    <row r="28" spans="1:35">
      <c r="A28" s="234" t="str">
        <f ca="1">IF(Table1[[#This Row],[No. Invoice :]]="","",ROW())</f>
        <v/>
      </c>
      <c r="B28" s="437" t="str">
        <f ca="1">IF(Table1[[#This Row],[Column3]]="","",B$1+COUNT(INDIRECT("B$2:B"&amp;ROW()-1)))</f>
        <v/>
      </c>
      <c r="C28" s="235" t="str">
        <f>IF(Table1[[#This Row],[Column2]]="","",Table1[[#This Row],[Column2]]+C$1-1)</f>
        <v/>
      </c>
      <c r="D28" s="438"/>
      <c r="E28" s="439"/>
      <c r="F28" s="437"/>
      <c r="G28" s="234" t="str">
        <f ca="1">IF(Table1[[#This Row],[h_No. Invoice :]]="","",CONCATENATE("AM"," ",Table1[[#This Row],[h_No. Invoice :]]))</f>
        <v/>
      </c>
      <c r="H28" s="437" t="str">
        <f>IF(Table1[[#This Row],[Column5]]="","",INDEX(Table2[Column1],MATCH(Table1[[#This Row],[Column5]],Table2[a],0)))</f>
        <v/>
      </c>
      <c r="I28" s="234" t="str">
        <f>IF(Table1[[#This Row],[Column3]]=0,"",CONCATENATE(UPPER(Table1[[#This Row],[Column3]])," ",Table1[[#This Row],[Column4]]))</f>
        <v xml:space="preserve"> </v>
      </c>
      <c r="J28" s="234" t="str">
        <f>IF(Table1[[#This Row],[Column5]]="","",INDEX(Table2[e],IF(Table1[[#This Row],[Column5]]="","",MATCH(Table1[[#This Row],[Column5]],Table2[a],0)),))</f>
        <v/>
      </c>
      <c r="K28" s="234">
        <v>24</v>
      </c>
      <c r="L28" s="234" t="s">
        <v>186</v>
      </c>
      <c r="M28" s="234">
        <v>1</v>
      </c>
      <c r="N28" s="234" t="s">
        <v>234</v>
      </c>
      <c r="O28" s="437" t="str">
        <f>IF(Table1[[#This Row],[h_Item Description]]="","",INDEX([1]!db[NB PAJAK],MATCH(Table1[[#This Row],[h_Item Description]],[1]!db[kode],0)))</f>
        <v>CUTTER 18 MM JOYKO L-500 + ISI (BESAR)</v>
      </c>
      <c r="P28" s="234" t="s">
        <v>238</v>
      </c>
      <c r="Q28" s="237">
        <v>168000</v>
      </c>
      <c r="R28" s="238">
        <v>0.125</v>
      </c>
      <c r="S28" s="238"/>
      <c r="T28" s="440">
        <f>Table1[[#This Row],[h_hargasetelahdiskon]]</f>
        <v>3528000</v>
      </c>
      <c r="V28" s="234"/>
      <c r="W28" s="234">
        <f ca="1">IF(Table1[[#This Row],[Column12]]="","",IF(Table1[[#This Row],[//]]="",INDIRECT(ADDRESS(ROW()-1,COLUMN())),Table1[[#This Row],[//]]))</f>
        <v>25</v>
      </c>
      <c r="X28" s="234">
        <f ca="1">IF(Table1[[#This Row],[h_id]]="","",COUNTIF(Table1[h_id],Table1[[#This Row],[h_id]]))</f>
        <v>4</v>
      </c>
      <c r="Y28" s="237">
        <f>IF(Table1[[#This Row],[Column12]]="","",Table1[[#This Row],[Qty]]*Table1[[#This Row],[Column13]])</f>
        <v>4032000</v>
      </c>
      <c r="Z28" s="440">
        <f>IF(Table1[[#This Row],[h_hargasebelumdiskon]]="","",IF(Table1[[#This Row],[Column14]]="",0,Table1[[#This Row],[h_hargasebelumdiskon]]*Table1[[#This Row],[Column14]]))</f>
        <v>504000</v>
      </c>
      <c r="AA28" s="440">
        <f>IF(Table1[[#This Row],[h_hargasebelumdiskon]]="","",IF(Table1[[#This Row],[Column15]]="",0,(Table1[[#This Row],[h_hargasebelumdiskon]]-Table1[[#This Row],[h_disc 1]])*Table1[[#This Row],[Column15]]))</f>
        <v>0</v>
      </c>
      <c r="AB28" s="237">
        <f>IF(Table1[[#This Row],[Column12]]="","",Table1[[#This Row],[h_disc 1]]+Table1[[#This Row],[h_disc 2]])</f>
        <v>504000</v>
      </c>
      <c r="AC28" s="237">
        <f>IF(Table1[[#This Row],[Column12]]="","",Table1[[#This Row],[h_hargasebelumdiskon]]-Table1[[#This Row],[h_diskon]])</f>
        <v>3528000</v>
      </c>
      <c r="AD28" s="237" t="str">
        <f ca="1">IF(Table1[[#This Row],[//]]="","",SUMIF(Table1[h_id],Table1[[#This Row],[h_id]],Table1[h_hargasetelahdiskon]))</f>
        <v/>
      </c>
      <c r="AF28" s="237" t="str">
        <f>Table1[[#This Row],[Column12]]&amp;Table1[[#This Row],[Unit]]&amp;Table1[[#This Row],[Column13]]</f>
        <v>CUTTER 18 MM JOYKO L-500 + ISI (BESAR)LSN168000</v>
      </c>
      <c r="AG28"/>
      <c r="AH28"/>
      <c r="AI28"/>
    </row>
    <row r="29" spans="1:35">
      <c r="A29" s="234" t="str">
        <f ca="1">IF(Table1[[#This Row],[No. Invoice :]]="","",ROW())</f>
        <v/>
      </c>
      <c r="B29" s="437" t="str">
        <f ca="1">IF(Table1[[#This Row],[Column3]]="","",B$1+COUNT(INDIRECT("B$2:B"&amp;ROW()-1)))</f>
        <v/>
      </c>
      <c r="C29" s="235" t="str">
        <f>IF(Table1[[#This Row],[Column2]]="","",Table1[[#This Row],[Column2]]+C$1-1)</f>
        <v/>
      </c>
      <c r="D29" s="438"/>
      <c r="E29" s="439"/>
      <c r="F29" s="437"/>
      <c r="G29" s="234" t="str">
        <f ca="1">IF(Table1[[#This Row],[h_No. Invoice :]]="","",CONCATENATE("AM"," ",Table1[[#This Row],[h_No. Invoice :]]))</f>
        <v/>
      </c>
      <c r="H29" s="437" t="str">
        <f>IF(Table1[[#This Row],[Column5]]="","",INDEX(Table2[Column1],MATCH(Table1[[#This Row],[Column5]],Table2[a],0)))</f>
        <v/>
      </c>
      <c r="I29" s="234" t="str">
        <f>IF(Table1[[#This Row],[Column3]]=0,"",CONCATENATE(UPPER(Table1[[#This Row],[Column3]])," ",Table1[[#This Row],[Column4]]))</f>
        <v xml:space="preserve"> </v>
      </c>
      <c r="J29" s="234" t="str">
        <f>IF(Table1[[#This Row],[Column5]]="","",INDEX(Table2[e],IF(Table1[[#This Row],[Column5]]="","",MATCH(Table1[[#This Row],[Column5]],Table2[a],0)),))</f>
        <v/>
      </c>
      <c r="K29" s="234"/>
      <c r="L29" s="234"/>
      <c r="N29" s="437"/>
      <c r="O29" s="437" t="str">
        <f>IF(Table1[[#This Row],[h_Item Description]]="","",INDEX([1]!db[NB PAJAK],MATCH(Table1[[#This Row],[h_Item Description]],[1]!db[kode],0)))</f>
        <v/>
      </c>
      <c r="Q29" s="237"/>
      <c r="R29" s="238"/>
      <c r="S29" s="238"/>
      <c r="T29" s="440" t="str">
        <f>Table1[[#This Row],[h_hargasetelahdiskon]]</f>
        <v/>
      </c>
      <c r="V29" s="234"/>
      <c r="W29" s="234" t="str">
        <f ca="1">IF(Table1[[#This Row],[Column12]]="","",IF(Table1[[#This Row],[//]]="",INDIRECT(ADDRESS(ROW()-1,COLUMN())),Table1[[#This Row],[//]]))</f>
        <v/>
      </c>
      <c r="X29" s="234" t="str">
        <f ca="1">IF(Table1[[#This Row],[h_id]]="","",COUNTIF(Table1[h_id],Table1[[#This Row],[h_id]]))</f>
        <v/>
      </c>
      <c r="Y29" s="237" t="str">
        <f>IF(Table1[[#This Row],[Column12]]="","",Table1[[#This Row],[Qty]]*Table1[[#This Row],[Column13]])</f>
        <v/>
      </c>
      <c r="Z29" s="440" t="str">
        <f>IF(Table1[[#This Row],[h_hargasebelumdiskon]]="","",IF(Table1[[#This Row],[Column14]]="",0,Table1[[#This Row],[h_hargasebelumdiskon]]*Table1[[#This Row],[Column14]]))</f>
        <v/>
      </c>
      <c r="AA29" s="440" t="str">
        <f>IF(Table1[[#This Row],[h_hargasebelumdiskon]]="","",IF(Table1[[#This Row],[Column15]]="",0,(Table1[[#This Row],[h_hargasebelumdiskon]]-Table1[[#This Row],[h_disc 1]])*Table1[[#This Row],[Column15]]))</f>
        <v/>
      </c>
      <c r="AB29" s="237" t="str">
        <f>IF(Table1[[#This Row],[Column12]]="","",Table1[[#This Row],[h_disc 1]]+Table1[[#This Row],[h_disc 2]])</f>
        <v/>
      </c>
      <c r="AC29" s="237" t="str">
        <f>IF(Table1[[#This Row],[Column12]]="","",Table1[[#This Row],[h_hargasebelumdiskon]]-Table1[[#This Row],[h_diskon]])</f>
        <v/>
      </c>
      <c r="AD29" s="237" t="str">
        <f ca="1">IF(Table1[[#This Row],[//]]="","",SUMIF(Table1[h_id],Table1[[#This Row],[h_id]],Table1[h_hargasetelahdiskon]))</f>
        <v/>
      </c>
      <c r="AF29" s="237" t="str">
        <f>Table1[[#This Row],[Column12]]&amp;Table1[[#This Row],[Unit]]&amp;Table1[[#This Row],[Column13]]</f>
        <v/>
      </c>
      <c r="AG29"/>
      <c r="AH29"/>
      <c r="AI29"/>
    </row>
    <row r="30" spans="1:35">
      <c r="A30" s="234">
        <f ca="1">IF(Table1[[#This Row],[No. Invoice :]]="","",ROW())</f>
        <v>30</v>
      </c>
      <c r="B30" s="437">
        <f ca="1">IF(Table1[[#This Row],[Column3]]="","",B$1+COUNT(INDIRECT("B$2:B"&amp;ROW()-1)))</f>
        <v>24050006</v>
      </c>
      <c r="C30" s="235">
        <f>IF(Table1[[#This Row],[Column2]]="","",Table1[[#This Row],[Column2]]+C$1-1)</f>
        <v>45419</v>
      </c>
      <c r="D30" s="438">
        <v>7</v>
      </c>
      <c r="E30" s="236" t="s">
        <v>240</v>
      </c>
      <c r="F30" s="234" t="s">
        <v>89</v>
      </c>
      <c r="G30" s="234" t="str">
        <f ca="1">IF(Table1[[#This Row],[h_No. Invoice :]]="","",CONCATENATE("AM"," ",Table1[[#This Row],[h_No. Invoice :]]))</f>
        <v>AM 24050006</v>
      </c>
      <c r="H30" s="437" t="str">
        <f>IF(Table1[[#This Row],[Column5]]="","",INDEX(Table2[Column1],MATCH(Table1[[#This Row],[Column5]],Table2[a],0)))</f>
        <v>G</v>
      </c>
      <c r="I30" s="234" t="str">
        <f>IF(Table1[[#This Row],[Column3]]=0,"",CONCATENATE(UPPER(Table1[[#This Row],[Column3]])," ",Table1[[#This Row],[Column4]]))</f>
        <v>G 2993</v>
      </c>
      <c r="J30" s="234" t="str">
        <f>IF(Table1[[#This Row],[Column5]]="","",INDEX(Table2[e],IF(Table1[[#This Row],[Column5]]="","",MATCH(Table1[[#This Row],[Column5]],Table2[a],0)),))</f>
        <v>LILY JULIAWATI (REJO AGUNG) JOMBANG</v>
      </c>
      <c r="K30" s="234">
        <v>120</v>
      </c>
      <c r="L30" s="234" t="s">
        <v>197</v>
      </c>
      <c r="M30" s="234">
        <v>1</v>
      </c>
      <c r="N30" s="234" t="s">
        <v>241</v>
      </c>
      <c r="O30" s="437" t="str">
        <f>IF(Table1[[#This Row],[h_Item Description]]="","",INDEX([1]!db[NB PAJAK],MATCH(Table1[[#This Row],[h_Item Description]],[1]!db[kode],0)))</f>
        <v>CALCULATOR JOYKO CC-15A</v>
      </c>
      <c r="P30" s="234" t="s">
        <v>245</v>
      </c>
      <c r="Q30" s="237">
        <v>47000</v>
      </c>
      <c r="R30" s="238">
        <v>0.125</v>
      </c>
      <c r="S30" s="238"/>
      <c r="T30" s="440">
        <f>Table1[[#This Row],[h_hargasetelahdiskon]]</f>
        <v>4935000</v>
      </c>
      <c r="U30" s="237" t="s">
        <v>249</v>
      </c>
      <c r="V30" s="234"/>
      <c r="W30" s="234">
        <f ca="1">IF(Table1[[#This Row],[Column12]]="","",IF(Table1[[#This Row],[//]]="",INDIRECT(ADDRESS(ROW()-1,COLUMN())),Table1[[#This Row],[//]]))</f>
        <v>30</v>
      </c>
      <c r="X30" s="234">
        <f ca="1">IF(Table1[[#This Row],[h_id]]="","",COUNTIF(Table1[h_id],Table1[[#This Row],[h_id]]))</f>
        <v>6</v>
      </c>
      <c r="Y30" s="237">
        <f>IF(Table1[[#This Row],[Column12]]="","",Table1[[#This Row],[Qty]]*Table1[[#This Row],[Column13]])</f>
        <v>5640000</v>
      </c>
      <c r="Z30" s="440">
        <f>IF(Table1[[#This Row],[h_hargasebelumdiskon]]="","",IF(Table1[[#This Row],[Column14]]="",0,Table1[[#This Row],[h_hargasebelumdiskon]]*Table1[[#This Row],[Column14]]))</f>
        <v>705000</v>
      </c>
      <c r="AA30" s="440">
        <f>IF(Table1[[#This Row],[h_hargasebelumdiskon]]="","",IF(Table1[[#This Row],[Column15]]="",0,(Table1[[#This Row],[h_hargasebelumdiskon]]-Table1[[#This Row],[h_disc 1]])*Table1[[#This Row],[Column15]]))</f>
        <v>0</v>
      </c>
      <c r="AB30" s="237">
        <f>IF(Table1[[#This Row],[Column12]]="","",Table1[[#This Row],[h_disc 1]]+Table1[[#This Row],[h_disc 2]])</f>
        <v>705000</v>
      </c>
      <c r="AC30" s="237">
        <f>IF(Table1[[#This Row],[Column12]]="","",Table1[[#This Row],[h_hargasebelumdiskon]]-Table1[[#This Row],[h_diskon]])</f>
        <v>4935000</v>
      </c>
      <c r="AD30" s="237">
        <f ca="1">IF(Table1[[#This Row],[//]]="","",SUMIF(Table1[h_id],Table1[[#This Row],[h_id]],Table1[h_hargasetelahdiskon]))</f>
        <v>46655000</v>
      </c>
      <c r="AF30" s="237" t="str">
        <f>Table1[[#This Row],[Column12]]&amp;Table1[[#This Row],[Unit]]&amp;Table1[[#This Row],[Column13]]</f>
        <v>CALCULATOR JOYKO CC-15APCS47000</v>
      </c>
      <c r="AG30"/>
      <c r="AH30"/>
      <c r="AI30"/>
    </row>
    <row r="31" spans="1:35">
      <c r="A31" s="234" t="str">
        <f ca="1">IF(Table1[[#This Row],[No. Invoice :]]="","",ROW())</f>
        <v/>
      </c>
      <c r="B31" s="437" t="str">
        <f ca="1">IF(Table1[[#This Row],[Column3]]="","",B$1+COUNT(INDIRECT("B$2:B"&amp;ROW()-1)))</f>
        <v/>
      </c>
      <c r="C31" s="235" t="str">
        <f>IF(Table1[[#This Row],[Column2]]="","",Table1[[#This Row],[Column2]]+C$1-1)</f>
        <v/>
      </c>
      <c r="D31" s="438"/>
      <c r="E31" s="439"/>
      <c r="F31" s="437"/>
      <c r="G31" s="234" t="str">
        <f ca="1">IF(Table1[[#This Row],[h_No. Invoice :]]="","",CONCATENATE("AM"," ",Table1[[#This Row],[h_No. Invoice :]]))</f>
        <v/>
      </c>
      <c r="H31" s="437" t="str">
        <f>IF(Table1[[#This Row],[Column5]]="","",INDEX(Table2[Column1],MATCH(Table1[[#This Row],[Column5]],Table2[a],0)))</f>
        <v/>
      </c>
      <c r="I31" s="234" t="str">
        <f>IF(Table1[[#This Row],[Column3]]=0,"",CONCATENATE(UPPER(Table1[[#This Row],[Column3]])," ",Table1[[#This Row],[Column4]]))</f>
        <v xml:space="preserve"> </v>
      </c>
      <c r="J31" s="234" t="str">
        <f>IF(Table1[[#This Row],[Column5]]="","",INDEX(Table2[e],IF(Table1[[#This Row],[Column5]]="","",MATCH(Table1[[#This Row],[Column5]],Table2[a],0)),))</f>
        <v/>
      </c>
      <c r="K31" s="234">
        <v>80</v>
      </c>
      <c r="L31" s="234" t="s">
        <v>197</v>
      </c>
      <c r="M31" s="234">
        <v>1</v>
      </c>
      <c r="N31" s="234" t="s">
        <v>242</v>
      </c>
      <c r="O31" s="437" t="str">
        <f>IF(Table1[[#This Row],[h_Item Description]]="","",INDEX([1]!db[NB PAJAK],MATCH(Table1[[#This Row],[h_Item Description]],[1]!db[kode],0)))</f>
        <v>CALCULATOR JOYKO CC-12CO WARNA</v>
      </c>
      <c r="P31" s="234" t="s">
        <v>246</v>
      </c>
      <c r="Q31" s="237">
        <v>56000</v>
      </c>
      <c r="R31" s="238">
        <v>0.125</v>
      </c>
      <c r="S31" s="238"/>
      <c r="T31" s="440">
        <f>Table1[[#This Row],[h_hargasetelahdiskon]]</f>
        <v>3920000</v>
      </c>
      <c r="V31" s="234"/>
      <c r="W31" s="234">
        <f ca="1">IF(Table1[[#This Row],[Column12]]="","",IF(Table1[[#This Row],[//]]="",INDIRECT(ADDRESS(ROW()-1,COLUMN())),Table1[[#This Row],[//]]))</f>
        <v>30</v>
      </c>
      <c r="X31" s="234">
        <f ca="1">IF(Table1[[#This Row],[h_id]]="","",COUNTIF(Table1[h_id],Table1[[#This Row],[h_id]]))</f>
        <v>6</v>
      </c>
      <c r="Y31" s="237">
        <f>IF(Table1[[#This Row],[Column12]]="","",Table1[[#This Row],[Qty]]*Table1[[#This Row],[Column13]])</f>
        <v>4480000</v>
      </c>
      <c r="Z31" s="440">
        <f>IF(Table1[[#This Row],[h_hargasebelumdiskon]]="","",IF(Table1[[#This Row],[Column14]]="",0,Table1[[#This Row],[h_hargasebelumdiskon]]*Table1[[#This Row],[Column14]]))</f>
        <v>560000</v>
      </c>
      <c r="AA31" s="440">
        <f>IF(Table1[[#This Row],[h_hargasebelumdiskon]]="","",IF(Table1[[#This Row],[Column15]]="",0,(Table1[[#This Row],[h_hargasebelumdiskon]]-Table1[[#This Row],[h_disc 1]])*Table1[[#This Row],[Column15]]))</f>
        <v>0</v>
      </c>
      <c r="AB31" s="237">
        <f>IF(Table1[[#This Row],[Column12]]="","",Table1[[#This Row],[h_disc 1]]+Table1[[#This Row],[h_disc 2]])</f>
        <v>560000</v>
      </c>
      <c r="AC31" s="237">
        <f>IF(Table1[[#This Row],[Column12]]="","",Table1[[#This Row],[h_hargasebelumdiskon]]-Table1[[#This Row],[h_diskon]])</f>
        <v>3920000</v>
      </c>
      <c r="AD31" s="237" t="str">
        <f ca="1">IF(Table1[[#This Row],[//]]="","",SUMIF(Table1[h_id],Table1[[#This Row],[h_id]],Table1[h_hargasetelahdiskon]))</f>
        <v/>
      </c>
      <c r="AF31" s="237" t="str">
        <f>Table1[[#This Row],[Column12]]&amp;Table1[[#This Row],[Unit]]&amp;Table1[[#This Row],[Column13]]</f>
        <v>CALCULATOR JOYKO CC-12CO WARNAPCS56000</v>
      </c>
      <c r="AG31"/>
      <c r="AH31"/>
      <c r="AI31"/>
    </row>
    <row r="32" spans="1:35">
      <c r="A32" s="234" t="str">
        <f ca="1">IF(Table1[[#This Row],[No. Invoice :]]="","",ROW())</f>
        <v/>
      </c>
      <c r="B32" s="437" t="str">
        <f ca="1">IF(Table1[[#This Row],[Column3]]="","",B$1+COUNT(INDIRECT("B$2:B"&amp;ROW()-1)))</f>
        <v/>
      </c>
      <c r="C32" s="235" t="str">
        <f>IF(Table1[[#This Row],[Column2]]="","",Table1[[#This Row],[Column2]]+C$1-1)</f>
        <v/>
      </c>
      <c r="D32" s="438"/>
      <c r="E32" s="439"/>
      <c r="F32" s="437"/>
      <c r="G32" s="234" t="str">
        <f ca="1">IF(Table1[[#This Row],[h_No. Invoice :]]="","",CONCATENATE("AM"," ",Table1[[#This Row],[h_No. Invoice :]]))</f>
        <v/>
      </c>
      <c r="H32" s="437" t="str">
        <f>IF(Table1[[#This Row],[Column5]]="","",INDEX(Table2[Column1],MATCH(Table1[[#This Row],[Column5]],Table2[a],0)))</f>
        <v/>
      </c>
      <c r="I32" s="234" t="str">
        <f>IF(Table1[[#This Row],[Column3]]=0,"",CONCATENATE(UPPER(Table1[[#This Row],[Column3]])," ",Table1[[#This Row],[Column4]]))</f>
        <v xml:space="preserve"> </v>
      </c>
      <c r="J32" s="234" t="str">
        <f>IF(Table1[[#This Row],[Column5]]="","",INDEX(Table2[e],IF(Table1[[#This Row],[Column5]]="","",MATCH(Table1[[#This Row],[Column5]],Table2[a],0)),))</f>
        <v/>
      </c>
      <c r="K32" s="234">
        <v>120</v>
      </c>
      <c r="L32" s="234" t="s">
        <v>197</v>
      </c>
      <c r="M32" s="234">
        <v>1</v>
      </c>
      <c r="N32" s="234" t="s">
        <v>243</v>
      </c>
      <c r="O32" s="437" t="str">
        <f>IF(Table1[[#This Row],[h_Item Description]]="","",INDEX([1]!db[NB PAJAK],MATCH(Table1[[#This Row],[h_Item Description]],[1]!db[kode],0)))</f>
        <v>CALCULATOR JOYKO CC-8CO WARNA</v>
      </c>
      <c r="P32" s="234" t="s">
        <v>247</v>
      </c>
      <c r="Q32" s="237">
        <v>38000</v>
      </c>
      <c r="R32" s="238">
        <v>0.125</v>
      </c>
      <c r="S32" s="238"/>
      <c r="T32" s="440">
        <f>Table1[[#This Row],[h_hargasetelahdiskon]]</f>
        <v>3990000</v>
      </c>
      <c r="V32" s="234"/>
      <c r="W32" s="234">
        <f ca="1">IF(Table1[[#This Row],[Column12]]="","",IF(Table1[[#This Row],[//]]="",INDIRECT(ADDRESS(ROW()-1,COLUMN())),Table1[[#This Row],[//]]))</f>
        <v>30</v>
      </c>
      <c r="X32" s="234">
        <f ca="1">IF(Table1[[#This Row],[h_id]]="","",COUNTIF(Table1[h_id],Table1[[#This Row],[h_id]]))</f>
        <v>6</v>
      </c>
      <c r="Y32" s="237">
        <f>IF(Table1[[#This Row],[Column12]]="","",Table1[[#This Row],[Qty]]*Table1[[#This Row],[Column13]])</f>
        <v>4560000</v>
      </c>
      <c r="Z32" s="440">
        <f>IF(Table1[[#This Row],[h_hargasebelumdiskon]]="","",IF(Table1[[#This Row],[Column14]]="",0,Table1[[#This Row],[h_hargasebelumdiskon]]*Table1[[#This Row],[Column14]]))</f>
        <v>570000</v>
      </c>
      <c r="AA32" s="440">
        <f>IF(Table1[[#This Row],[h_hargasebelumdiskon]]="","",IF(Table1[[#This Row],[Column15]]="",0,(Table1[[#This Row],[h_hargasebelumdiskon]]-Table1[[#This Row],[h_disc 1]])*Table1[[#This Row],[Column15]]))</f>
        <v>0</v>
      </c>
      <c r="AB32" s="237">
        <f>IF(Table1[[#This Row],[Column12]]="","",Table1[[#This Row],[h_disc 1]]+Table1[[#This Row],[h_disc 2]])</f>
        <v>570000</v>
      </c>
      <c r="AC32" s="237">
        <f>IF(Table1[[#This Row],[Column12]]="","",Table1[[#This Row],[h_hargasebelumdiskon]]-Table1[[#This Row],[h_diskon]])</f>
        <v>3990000</v>
      </c>
      <c r="AD32" s="237" t="str">
        <f ca="1">IF(Table1[[#This Row],[//]]="","",SUMIF(Table1[h_id],Table1[[#This Row],[h_id]],Table1[h_hargasetelahdiskon]))</f>
        <v/>
      </c>
      <c r="AF32" s="237" t="str">
        <f>Table1[[#This Row],[Column12]]&amp;Table1[[#This Row],[Unit]]&amp;Table1[[#This Row],[Column13]]</f>
        <v>CALCULATOR JOYKO CC-8CO WARNAPCS38000</v>
      </c>
      <c r="AG32"/>
      <c r="AH32"/>
      <c r="AI32"/>
    </row>
    <row r="33" spans="1:35">
      <c r="A33" s="234" t="str">
        <f ca="1">IF(Table1[[#This Row],[No. Invoice :]]="","",ROW())</f>
        <v/>
      </c>
      <c r="B33" s="437" t="str">
        <f ca="1">IF(Table1[[#This Row],[Column3]]="","",B$1+COUNT(INDIRECT("B$2:B"&amp;ROW()-1)))</f>
        <v/>
      </c>
      <c r="C33" s="235" t="str">
        <f>IF(Table1[[#This Row],[Column2]]="","",Table1[[#This Row],[Column2]]+C$1-1)</f>
        <v/>
      </c>
      <c r="D33" s="438"/>
      <c r="E33" s="439"/>
      <c r="F33" s="437"/>
      <c r="G33" s="234" t="str">
        <f ca="1">IF(Table1[[#This Row],[h_No. Invoice :]]="","",CONCATENATE("AM"," ",Table1[[#This Row],[h_No. Invoice :]]))</f>
        <v/>
      </c>
      <c r="H33" s="437" t="str">
        <f>IF(Table1[[#This Row],[Column5]]="","",INDEX(Table2[Column1],MATCH(Table1[[#This Row],[Column5]],Table2[a],0)))</f>
        <v/>
      </c>
      <c r="I33" s="234" t="str">
        <f>IF(Table1[[#This Row],[Column3]]=0,"",CONCATENATE(UPPER(Table1[[#This Row],[Column3]])," ",Table1[[#This Row],[Column4]]))</f>
        <v xml:space="preserve"> </v>
      </c>
      <c r="J33" s="234" t="str">
        <f>IF(Table1[[#This Row],[Column5]]="","",INDEX(Table2[e],IF(Table1[[#This Row],[Column5]]="","",MATCH(Table1[[#This Row],[Column5]],Table2[a],0)),))</f>
        <v/>
      </c>
      <c r="K33" s="234">
        <v>60</v>
      </c>
      <c r="L33" s="234" t="s">
        <v>197</v>
      </c>
      <c r="M33" s="234">
        <v>1</v>
      </c>
      <c r="N33" s="234" t="s">
        <v>244</v>
      </c>
      <c r="O33" s="437" t="str">
        <f>IF(Table1[[#This Row],[h_Item Description]]="","",INDEX([1]!db[NB PAJAK],MATCH(Table1[[#This Row],[h_Item Description]],[1]!db[kode],0)))</f>
        <v>CALCULATOR JOYKO CC-41</v>
      </c>
      <c r="P33" s="234" t="s">
        <v>248</v>
      </c>
      <c r="Q33" s="237">
        <v>74000</v>
      </c>
      <c r="R33" s="238">
        <v>0.125</v>
      </c>
      <c r="S33" s="238"/>
      <c r="T33" s="440">
        <f>Table1[[#This Row],[h_hargasetelahdiskon]]</f>
        <v>3885000</v>
      </c>
      <c r="V33" s="234"/>
      <c r="W33" s="234">
        <f ca="1">IF(Table1[[#This Row],[Column12]]="","",IF(Table1[[#This Row],[//]]="",INDIRECT(ADDRESS(ROW()-1,COLUMN())),Table1[[#This Row],[//]]))</f>
        <v>30</v>
      </c>
      <c r="X33" s="234">
        <f ca="1">IF(Table1[[#This Row],[h_id]]="","",COUNTIF(Table1[h_id],Table1[[#This Row],[h_id]]))</f>
        <v>6</v>
      </c>
      <c r="Y33" s="237">
        <f>IF(Table1[[#This Row],[Column12]]="","",Table1[[#This Row],[Qty]]*Table1[[#This Row],[Column13]])</f>
        <v>4440000</v>
      </c>
      <c r="Z33" s="440">
        <f>IF(Table1[[#This Row],[h_hargasebelumdiskon]]="","",IF(Table1[[#This Row],[Column14]]="",0,Table1[[#This Row],[h_hargasebelumdiskon]]*Table1[[#This Row],[Column14]]))</f>
        <v>555000</v>
      </c>
      <c r="AA33" s="440">
        <f>IF(Table1[[#This Row],[h_hargasebelumdiskon]]="","",IF(Table1[[#This Row],[Column15]]="",0,(Table1[[#This Row],[h_hargasebelumdiskon]]-Table1[[#This Row],[h_disc 1]])*Table1[[#This Row],[Column15]]))</f>
        <v>0</v>
      </c>
      <c r="AB33" s="237">
        <f>IF(Table1[[#This Row],[Column12]]="","",Table1[[#This Row],[h_disc 1]]+Table1[[#This Row],[h_disc 2]])</f>
        <v>555000</v>
      </c>
      <c r="AC33" s="237">
        <f>IF(Table1[[#This Row],[Column12]]="","",Table1[[#This Row],[h_hargasebelumdiskon]]-Table1[[#This Row],[h_diskon]])</f>
        <v>3885000</v>
      </c>
      <c r="AD33" s="237" t="str">
        <f ca="1">IF(Table1[[#This Row],[//]]="","",SUMIF(Table1[h_id],Table1[[#This Row],[h_id]],Table1[h_hargasetelahdiskon]))</f>
        <v/>
      </c>
      <c r="AF33" s="237" t="str">
        <f>Table1[[#This Row],[Column12]]&amp;Table1[[#This Row],[Unit]]&amp;Table1[[#This Row],[Column13]]</f>
        <v>CALCULATOR JOYKO CC-41PCS74000</v>
      </c>
      <c r="AG33"/>
      <c r="AH33"/>
      <c r="AI33"/>
    </row>
    <row r="34" spans="1:35">
      <c r="A34" s="234" t="str">
        <f ca="1">IF(Table1[[#This Row],[No. Invoice :]]="","",ROW())</f>
        <v/>
      </c>
      <c r="B34" s="437" t="str">
        <f ca="1">IF(Table1[[#This Row],[Column3]]="","",B$1+COUNT(INDIRECT("B$2:B"&amp;ROW()-1)))</f>
        <v/>
      </c>
      <c r="C34" s="235" t="str">
        <f>IF(Table1[[#This Row],[Column2]]="","",Table1[[#This Row],[Column2]]+C$1-1)</f>
        <v/>
      </c>
      <c r="D34" s="438"/>
      <c r="E34" s="439"/>
      <c r="F34" s="437"/>
      <c r="G34" s="234" t="str">
        <f ca="1">IF(Table1[[#This Row],[h_No. Invoice :]]="","",CONCATENATE("AM"," ",Table1[[#This Row],[h_No. Invoice :]]))</f>
        <v/>
      </c>
      <c r="H34" s="437" t="str">
        <f>IF(Table1[[#This Row],[Column5]]="","",INDEX(Table2[Column1],MATCH(Table1[[#This Row],[Column5]],Table2[a],0)))</f>
        <v/>
      </c>
      <c r="I34" s="234" t="str">
        <f>IF(Table1[[#This Row],[Column3]]=0,"",CONCATENATE(UPPER(Table1[[#This Row],[Column3]])," ",Table1[[#This Row],[Column4]]))</f>
        <v xml:space="preserve"> </v>
      </c>
      <c r="J34" s="234" t="str">
        <f>IF(Table1[[#This Row],[Column5]]="","",INDEX(Table2[e],IF(Table1[[#This Row],[Column5]]="","",MATCH(Table1[[#This Row],[Column5]],Table2[a],0)),))</f>
        <v/>
      </c>
      <c r="K34" s="234">
        <v>100</v>
      </c>
      <c r="L34" s="234" t="s">
        <v>186</v>
      </c>
      <c r="M34" s="234">
        <v>5</v>
      </c>
      <c r="N34" s="234" t="s">
        <v>250</v>
      </c>
      <c r="O34" s="437" t="str">
        <f>IF(Table1[[#This Row],[h_Item Description]]="","",INDEX([1]!db[NB PAJAK],MATCH(Table1[[#This Row],[h_Item Description]],[1]!db[kode],0)))</f>
        <v>CUTTER 18 MM KENKO L-500 (BESAR)</v>
      </c>
      <c r="P34" s="234" t="s">
        <v>252</v>
      </c>
      <c r="Q34" s="237">
        <v>147600</v>
      </c>
      <c r="R34" s="238">
        <v>0.125</v>
      </c>
      <c r="S34" s="238"/>
      <c r="T34" s="440">
        <f>Table1[[#This Row],[h_hargasetelahdiskon]]</f>
        <v>12915000</v>
      </c>
      <c r="V34" s="234"/>
      <c r="W34" s="234">
        <f ca="1">IF(Table1[[#This Row],[Column12]]="","",IF(Table1[[#This Row],[//]]="",INDIRECT(ADDRESS(ROW()-1,COLUMN())),Table1[[#This Row],[//]]))</f>
        <v>30</v>
      </c>
      <c r="X34" s="234">
        <f ca="1">IF(Table1[[#This Row],[h_id]]="","",COUNTIF(Table1[h_id],Table1[[#This Row],[h_id]]))</f>
        <v>6</v>
      </c>
      <c r="Y34" s="237">
        <f>IF(Table1[[#This Row],[Column12]]="","",Table1[[#This Row],[Qty]]*Table1[[#This Row],[Column13]])</f>
        <v>14760000</v>
      </c>
      <c r="Z34" s="440">
        <f>IF(Table1[[#This Row],[h_hargasebelumdiskon]]="","",IF(Table1[[#This Row],[Column14]]="",0,Table1[[#This Row],[h_hargasebelumdiskon]]*Table1[[#This Row],[Column14]]))</f>
        <v>1845000</v>
      </c>
      <c r="AA34" s="440">
        <f>IF(Table1[[#This Row],[h_hargasebelumdiskon]]="","",IF(Table1[[#This Row],[Column15]]="",0,(Table1[[#This Row],[h_hargasebelumdiskon]]-Table1[[#This Row],[h_disc 1]])*Table1[[#This Row],[Column15]]))</f>
        <v>0</v>
      </c>
      <c r="AB34" s="237">
        <f>IF(Table1[[#This Row],[Column12]]="","",Table1[[#This Row],[h_disc 1]]+Table1[[#This Row],[h_disc 2]])</f>
        <v>1845000</v>
      </c>
      <c r="AC34" s="237">
        <f>IF(Table1[[#This Row],[Column12]]="","",Table1[[#This Row],[h_hargasebelumdiskon]]-Table1[[#This Row],[h_diskon]])</f>
        <v>12915000</v>
      </c>
      <c r="AD34" s="237" t="str">
        <f ca="1">IF(Table1[[#This Row],[//]]="","",SUMIF(Table1[h_id],Table1[[#This Row],[h_id]],Table1[h_hargasetelahdiskon]))</f>
        <v/>
      </c>
      <c r="AF34" s="237" t="str">
        <f>Table1[[#This Row],[Column12]]&amp;Table1[[#This Row],[Unit]]&amp;Table1[[#This Row],[Column13]]</f>
        <v>CUTTER 18 MM KENKO L-500 (BESAR)LSN147600</v>
      </c>
      <c r="AG34"/>
      <c r="AH34"/>
      <c r="AI34"/>
    </row>
    <row r="35" spans="1:35">
      <c r="A35" s="234" t="str">
        <f ca="1">IF(Table1[[#This Row],[No. Invoice :]]="","",ROW())</f>
        <v/>
      </c>
      <c r="B35" s="437" t="str">
        <f ca="1">IF(Table1[[#This Row],[Column3]]="","",B$1+COUNT(INDIRECT("B$2:B"&amp;ROW()-1)))</f>
        <v/>
      </c>
      <c r="C35" s="235" t="str">
        <f>IF(Table1[[#This Row],[Column2]]="","",Table1[[#This Row],[Column2]]+C$1-1)</f>
        <v/>
      </c>
      <c r="D35" s="438"/>
      <c r="E35" s="439"/>
      <c r="F35" s="437"/>
      <c r="G35" s="234" t="str">
        <f ca="1">IF(Table1[[#This Row],[h_No. Invoice :]]="","",CONCATENATE("AM"," ",Table1[[#This Row],[h_No. Invoice :]]))</f>
        <v/>
      </c>
      <c r="H35" s="437" t="str">
        <f>IF(Table1[[#This Row],[Column5]]="","",INDEX(Table2[Column1],MATCH(Table1[[#This Row],[Column5]],Table2[a],0)))</f>
        <v/>
      </c>
      <c r="I35" s="234" t="str">
        <f>IF(Table1[[#This Row],[Column3]]=0,"",CONCATENATE(UPPER(Table1[[#This Row],[Column3]])," ",Table1[[#This Row],[Column4]]))</f>
        <v xml:space="preserve"> </v>
      </c>
      <c r="J35" s="234" t="str">
        <f>IF(Table1[[#This Row],[Column5]]="","",INDEX(Table2[e],IF(Table1[[#This Row],[Column5]]="","",MATCH(Table1[[#This Row],[Column5]],Table2[a],0)),))</f>
        <v/>
      </c>
      <c r="K35" s="234">
        <v>300</v>
      </c>
      <c r="L35" s="234" t="s">
        <v>186</v>
      </c>
      <c r="M35" s="234">
        <v>5</v>
      </c>
      <c r="N35" s="234" t="s">
        <v>251</v>
      </c>
      <c r="O35" s="437" t="str">
        <f>IF(Table1[[#This Row],[h_Item Description]]="","",INDEX([1]!db[NB PAJAK],MATCH(Table1[[#This Row],[h_Item Description]],[1]!db[kode],0)))</f>
        <v>ISI CUTTER 18 MM KENKO L-150 (BESAR)</v>
      </c>
      <c r="P35" s="234" t="s">
        <v>253</v>
      </c>
      <c r="Q35" s="237">
        <v>64800</v>
      </c>
      <c r="R35" s="238">
        <v>0.125</v>
      </c>
      <c r="S35" s="238"/>
      <c r="T35" s="440">
        <f>Table1[[#This Row],[h_hargasetelahdiskon]]</f>
        <v>17010000</v>
      </c>
      <c r="V35" s="234"/>
      <c r="W35" s="234">
        <f ca="1">IF(Table1[[#This Row],[Column12]]="","",IF(Table1[[#This Row],[//]]="",INDIRECT(ADDRESS(ROW()-1,COLUMN())),Table1[[#This Row],[//]]))</f>
        <v>30</v>
      </c>
      <c r="X35" s="234">
        <f ca="1">IF(Table1[[#This Row],[h_id]]="","",COUNTIF(Table1[h_id],Table1[[#This Row],[h_id]]))</f>
        <v>6</v>
      </c>
      <c r="Y35" s="237">
        <f>IF(Table1[[#This Row],[Column12]]="","",Table1[[#This Row],[Qty]]*Table1[[#This Row],[Column13]])</f>
        <v>19440000</v>
      </c>
      <c r="Z35" s="440">
        <f>IF(Table1[[#This Row],[h_hargasebelumdiskon]]="","",IF(Table1[[#This Row],[Column14]]="",0,Table1[[#This Row],[h_hargasebelumdiskon]]*Table1[[#This Row],[Column14]]))</f>
        <v>2430000</v>
      </c>
      <c r="AA35" s="440">
        <f>IF(Table1[[#This Row],[h_hargasebelumdiskon]]="","",IF(Table1[[#This Row],[Column15]]="",0,(Table1[[#This Row],[h_hargasebelumdiskon]]-Table1[[#This Row],[h_disc 1]])*Table1[[#This Row],[Column15]]))</f>
        <v>0</v>
      </c>
      <c r="AB35" s="237">
        <f>IF(Table1[[#This Row],[Column12]]="","",Table1[[#This Row],[h_disc 1]]+Table1[[#This Row],[h_disc 2]])</f>
        <v>2430000</v>
      </c>
      <c r="AC35" s="237">
        <f>IF(Table1[[#This Row],[Column12]]="","",Table1[[#This Row],[h_hargasebelumdiskon]]-Table1[[#This Row],[h_diskon]])</f>
        <v>17010000</v>
      </c>
      <c r="AD35" s="237" t="str">
        <f ca="1">IF(Table1[[#This Row],[//]]="","",SUMIF(Table1[h_id],Table1[[#This Row],[h_id]],Table1[h_hargasetelahdiskon]))</f>
        <v/>
      </c>
      <c r="AF35" s="237" t="str">
        <f>Table1[[#This Row],[Column12]]&amp;Table1[[#This Row],[Unit]]&amp;Table1[[#This Row],[Column13]]</f>
        <v>ISI CUTTER 18 MM KENKO L-150 (BESAR)LSN64800</v>
      </c>
      <c r="AG35"/>
      <c r="AH35"/>
      <c r="AI35"/>
    </row>
    <row r="36" spans="1:35">
      <c r="A36" s="234" t="str">
        <f ca="1">IF(Table1[[#This Row],[No. Invoice :]]="","",ROW())</f>
        <v/>
      </c>
      <c r="B36" s="437" t="str">
        <f ca="1">IF(Table1[[#This Row],[Column3]]="","",B$1+COUNT(INDIRECT("B$2:B"&amp;ROW()-1)))</f>
        <v/>
      </c>
      <c r="C36" s="235" t="str">
        <f>IF(Table1[[#This Row],[Column2]]="","",Table1[[#This Row],[Column2]]+C$1-1)</f>
        <v/>
      </c>
      <c r="D36" s="438"/>
      <c r="E36" s="439"/>
      <c r="F36" s="437"/>
      <c r="G36" s="234" t="str">
        <f ca="1">IF(Table1[[#This Row],[h_No. Invoice :]]="","",CONCATENATE("AM"," ",Table1[[#This Row],[h_No. Invoice :]]))</f>
        <v/>
      </c>
      <c r="H36" s="437" t="str">
        <f>IF(Table1[[#This Row],[Column5]]="","",INDEX(Table2[Column1],MATCH(Table1[[#This Row],[Column5]],Table2[a],0)))</f>
        <v/>
      </c>
      <c r="I36" s="234" t="str">
        <f>IF(Table1[[#This Row],[Column3]]=0,"",CONCATENATE(UPPER(Table1[[#This Row],[Column3]])," ",Table1[[#This Row],[Column4]]))</f>
        <v xml:space="preserve"> </v>
      </c>
      <c r="J36" s="234" t="str">
        <f>IF(Table1[[#This Row],[Column5]]="","",INDEX(Table2[e],IF(Table1[[#This Row],[Column5]]="","",MATCH(Table1[[#This Row],[Column5]],Table2[a],0)),))</f>
        <v/>
      </c>
      <c r="K36" s="234"/>
      <c r="L36" s="234"/>
      <c r="N36" s="437"/>
      <c r="O36" s="437" t="str">
        <f>IF(Table1[[#This Row],[h_Item Description]]="","",INDEX([1]!db[NB PAJAK],MATCH(Table1[[#This Row],[h_Item Description]],[1]!db[kode],0)))</f>
        <v/>
      </c>
      <c r="Q36" s="237"/>
      <c r="R36" s="238"/>
      <c r="S36" s="238"/>
      <c r="T36" s="440" t="str">
        <f>Table1[[#This Row],[h_hargasetelahdiskon]]</f>
        <v/>
      </c>
      <c r="V36" s="234"/>
      <c r="W36" s="234" t="str">
        <f ca="1">IF(Table1[[#This Row],[Column12]]="","",IF(Table1[[#This Row],[//]]="",INDIRECT(ADDRESS(ROW()-1,COLUMN())),Table1[[#This Row],[//]]))</f>
        <v/>
      </c>
      <c r="X36" s="234" t="str">
        <f ca="1">IF(Table1[[#This Row],[h_id]]="","",COUNTIF(Table1[h_id],Table1[[#This Row],[h_id]]))</f>
        <v/>
      </c>
      <c r="Y36" s="237" t="str">
        <f>IF(Table1[[#This Row],[Column12]]="","",Table1[[#This Row],[Qty]]*Table1[[#This Row],[Column13]])</f>
        <v/>
      </c>
      <c r="Z36" s="440" t="str">
        <f>IF(Table1[[#This Row],[h_hargasebelumdiskon]]="","",IF(Table1[[#This Row],[Column14]]="",0,Table1[[#This Row],[h_hargasebelumdiskon]]*Table1[[#This Row],[Column14]]))</f>
        <v/>
      </c>
      <c r="AA36" s="440" t="str">
        <f>IF(Table1[[#This Row],[h_hargasebelumdiskon]]="","",IF(Table1[[#This Row],[Column15]]="",0,(Table1[[#This Row],[h_hargasebelumdiskon]]-Table1[[#This Row],[h_disc 1]])*Table1[[#This Row],[Column15]]))</f>
        <v/>
      </c>
      <c r="AB36" s="237" t="str">
        <f>IF(Table1[[#This Row],[Column12]]="","",Table1[[#This Row],[h_disc 1]]+Table1[[#This Row],[h_disc 2]])</f>
        <v/>
      </c>
      <c r="AC36" s="237" t="str">
        <f>IF(Table1[[#This Row],[Column12]]="","",Table1[[#This Row],[h_hargasebelumdiskon]]-Table1[[#This Row],[h_diskon]])</f>
        <v/>
      </c>
      <c r="AD36" s="237" t="str">
        <f ca="1">IF(Table1[[#This Row],[//]]="","",SUMIF(Table1[h_id],Table1[[#This Row],[h_id]],Table1[h_hargasetelahdiskon]))</f>
        <v/>
      </c>
      <c r="AF36" s="237" t="str">
        <f>Table1[[#This Row],[Column12]]&amp;Table1[[#This Row],[Unit]]&amp;Table1[[#This Row],[Column13]]</f>
        <v/>
      </c>
      <c r="AG36"/>
      <c r="AH36"/>
      <c r="AI36"/>
    </row>
    <row r="37" spans="1:35">
      <c r="A37" s="234">
        <f ca="1">IF(Table1[[#This Row],[No. Invoice :]]="","",ROW())</f>
        <v>37</v>
      </c>
      <c r="B37" s="437">
        <f ca="1">IF(Table1[[#This Row],[Column3]]="","",B$1+COUNT(INDIRECT("B$2:B"&amp;ROW()-1)))</f>
        <v>24050007</v>
      </c>
      <c r="C37" s="235">
        <f>IF(Table1[[#This Row],[Column2]]="","",Table1[[#This Row],[Column2]]+C$1-1)</f>
        <v>45420</v>
      </c>
      <c r="D37" s="438">
        <v>8</v>
      </c>
      <c r="E37" s="236" t="s">
        <v>254</v>
      </c>
      <c r="F37" s="234" t="s">
        <v>89</v>
      </c>
      <c r="G37" s="234" t="str">
        <f ca="1">IF(Table1[[#This Row],[h_No. Invoice :]]="","",CONCATENATE("AM"," ",Table1[[#This Row],[h_No. Invoice :]]))</f>
        <v>AM 24050007</v>
      </c>
      <c r="H37" s="437" t="str">
        <f>IF(Table1[[#This Row],[Column5]]="","",INDEX(Table2[Column1],MATCH(Table1[[#This Row],[Column5]],Table2[a],0)))</f>
        <v>G</v>
      </c>
      <c r="I37" s="234" t="str">
        <f>IF(Table1[[#This Row],[Column3]]=0,"",CONCATENATE(UPPER(Table1[[#This Row],[Column3]])," ",Table1[[#This Row],[Column4]]))</f>
        <v>G 3000</v>
      </c>
      <c r="J37" s="234" t="str">
        <f>IF(Table1[[#This Row],[Column5]]="","",INDEX(Table2[e],IF(Table1[[#This Row],[Column5]]="","",MATCH(Table1[[#This Row],[Column5]],Table2[a],0)),))</f>
        <v>LILY JULIAWATI (REJO AGUNG) JOMBANG</v>
      </c>
      <c r="K37" s="234">
        <v>180</v>
      </c>
      <c r="L37" s="234" t="s">
        <v>186</v>
      </c>
      <c r="M37" s="234">
        <v>5</v>
      </c>
      <c r="N37" s="234" t="s">
        <v>255</v>
      </c>
      <c r="O37" s="437" t="str">
        <f>IF(Table1[[#This Row],[h_Item Description]]="","",INDEX([1]!db[NB PAJAK],MATCH(Table1[[#This Row],[h_Item Description]],[1]!db[kode],0)))</f>
        <v>CORRECTION FLUID KENKO KE-01</v>
      </c>
      <c r="P37" s="234" t="s">
        <v>257</v>
      </c>
      <c r="Q37" s="237">
        <v>56100</v>
      </c>
      <c r="R37" s="238">
        <v>0.125</v>
      </c>
      <c r="S37" s="238"/>
      <c r="T37" s="440">
        <f>Table1[[#This Row],[h_hargasetelahdiskon]]</f>
        <v>8835750</v>
      </c>
      <c r="U37" s="237" t="s">
        <v>129</v>
      </c>
      <c r="V37" s="234"/>
      <c r="W37" s="234">
        <f ca="1">IF(Table1[[#This Row],[Column12]]="","",IF(Table1[[#This Row],[//]]="",INDIRECT(ADDRESS(ROW()-1,COLUMN())),Table1[[#This Row],[//]]))</f>
        <v>37</v>
      </c>
      <c r="X37" s="234">
        <f ca="1">IF(Table1[[#This Row],[h_id]]="","",COUNTIF(Table1[h_id],Table1[[#This Row],[h_id]]))</f>
        <v>2</v>
      </c>
      <c r="Y37" s="237">
        <f>IF(Table1[[#This Row],[Column12]]="","",Table1[[#This Row],[Qty]]*Table1[[#This Row],[Column13]])</f>
        <v>10098000</v>
      </c>
      <c r="Z37" s="440">
        <f>IF(Table1[[#This Row],[h_hargasebelumdiskon]]="","",IF(Table1[[#This Row],[Column14]]="",0,Table1[[#This Row],[h_hargasebelumdiskon]]*Table1[[#This Row],[Column14]]))</f>
        <v>1262250</v>
      </c>
      <c r="AA37" s="440">
        <f>IF(Table1[[#This Row],[h_hargasebelumdiskon]]="","",IF(Table1[[#This Row],[Column15]]="",0,(Table1[[#This Row],[h_hargasebelumdiskon]]-Table1[[#This Row],[h_disc 1]])*Table1[[#This Row],[Column15]]))</f>
        <v>0</v>
      </c>
      <c r="AB37" s="237">
        <f>IF(Table1[[#This Row],[Column12]]="","",Table1[[#This Row],[h_disc 1]]+Table1[[#This Row],[h_disc 2]])</f>
        <v>1262250</v>
      </c>
      <c r="AC37" s="237">
        <f>IF(Table1[[#This Row],[Column12]]="","",Table1[[#This Row],[h_hargasebelumdiskon]]-Table1[[#This Row],[h_diskon]])</f>
        <v>8835750</v>
      </c>
      <c r="AD37" s="237">
        <f ca="1">IF(Table1[[#This Row],[//]]="","",SUMIF(Table1[h_id],Table1[[#This Row],[h_id]],Table1[h_hargasetelahdiskon]))</f>
        <v>13456800</v>
      </c>
      <c r="AF37" s="237" t="str">
        <f>Table1[[#This Row],[Column12]]&amp;Table1[[#This Row],[Unit]]&amp;Table1[[#This Row],[Column13]]</f>
        <v>CORRECTION FLUID KENKO KE-01LSN56100</v>
      </c>
      <c r="AG37"/>
      <c r="AH37"/>
      <c r="AI37"/>
    </row>
    <row r="38" spans="1:35">
      <c r="A38" s="234" t="str">
        <f ca="1">IF(Table1[[#This Row],[No. Invoice :]]="","",ROW())</f>
        <v/>
      </c>
      <c r="B38" s="437" t="str">
        <f ca="1">IF(Table1[[#This Row],[Column3]]="","",B$1+COUNT(INDIRECT("B$2:B"&amp;ROW()-1)))</f>
        <v/>
      </c>
      <c r="C38" s="235" t="str">
        <f>IF(Table1[[#This Row],[Column2]]="","",Table1[[#This Row],[Column2]]+C$1-1)</f>
        <v/>
      </c>
      <c r="D38" s="438"/>
      <c r="E38" s="439"/>
      <c r="F38" s="437"/>
      <c r="G38" s="234" t="str">
        <f ca="1">IF(Table1[[#This Row],[h_No. Invoice :]]="","",CONCATENATE("AM"," ",Table1[[#This Row],[h_No. Invoice :]]))</f>
        <v/>
      </c>
      <c r="H38" s="437" t="str">
        <f>IF(Table1[[#This Row],[Column5]]="","",INDEX(Table2[Column1],MATCH(Table1[[#This Row],[Column5]],Table2[a],0)))</f>
        <v/>
      </c>
      <c r="I38" s="234" t="str">
        <f>IF(Table1[[#This Row],[Column3]]=0,"",CONCATENATE(UPPER(Table1[[#This Row],[Column3]])," ",Table1[[#This Row],[Column4]]))</f>
        <v xml:space="preserve"> </v>
      </c>
      <c r="J38" s="234" t="str">
        <f>IF(Table1[[#This Row],[Column5]]="","",INDEX(Table2[e],IF(Table1[[#This Row],[Column5]]="","",MATCH(Table1[[#This Row],[Column5]],Table2[a],0)),))</f>
        <v/>
      </c>
      <c r="K38" s="234">
        <v>108</v>
      </c>
      <c r="L38" s="234" t="s">
        <v>186</v>
      </c>
      <c r="M38" s="234">
        <v>3</v>
      </c>
      <c r="N38" s="234" t="s">
        <v>256</v>
      </c>
      <c r="O38" s="437" t="str">
        <f>IF(Table1[[#This Row],[h_Item Description]]="","",INDEX([1]!db[NB PAJAK],MATCH(Table1[[#This Row],[h_Item Description]],[1]!db[kode],0)))</f>
        <v>CORRECTION FLUID KENKO KE-108</v>
      </c>
      <c r="P38" s="234" t="s">
        <v>258</v>
      </c>
      <c r="Q38" s="237">
        <v>48900</v>
      </c>
      <c r="R38" s="238">
        <v>0.125</v>
      </c>
      <c r="S38" s="238"/>
      <c r="T38" s="440">
        <f>Table1[[#This Row],[h_hargasetelahdiskon]]</f>
        <v>4621050</v>
      </c>
      <c r="V38" s="234"/>
      <c r="W38" s="234">
        <f ca="1">IF(Table1[[#This Row],[Column12]]="","",IF(Table1[[#This Row],[//]]="",INDIRECT(ADDRESS(ROW()-1,COLUMN())),Table1[[#This Row],[//]]))</f>
        <v>37</v>
      </c>
      <c r="X38" s="234">
        <f ca="1">IF(Table1[[#This Row],[h_id]]="","",COUNTIF(Table1[h_id],Table1[[#This Row],[h_id]]))</f>
        <v>2</v>
      </c>
      <c r="Y38" s="237">
        <f>IF(Table1[[#This Row],[Column12]]="","",Table1[[#This Row],[Qty]]*Table1[[#This Row],[Column13]])</f>
        <v>5281200</v>
      </c>
      <c r="Z38" s="440">
        <f>IF(Table1[[#This Row],[h_hargasebelumdiskon]]="","",IF(Table1[[#This Row],[Column14]]="",0,Table1[[#This Row],[h_hargasebelumdiskon]]*Table1[[#This Row],[Column14]]))</f>
        <v>660150</v>
      </c>
      <c r="AA38" s="440">
        <f>IF(Table1[[#This Row],[h_hargasebelumdiskon]]="","",IF(Table1[[#This Row],[Column15]]="",0,(Table1[[#This Row],[h_hargasebelumdiskon]]-Table1[[#This Row],[h_disc 1]])*Table1[[#This Row],[Column15]]))</f>
        <v>0</v>
      </c>
      <c r="AB38" s="237">
        <f>IF(Table1[[#This Row],[Column12]]="","",Table1[[#This Row],[h_disc 1]]+Table1[[#This Row],[h_disc 2]])</f>
        <v>660150</v>
      </c>
      <c r="AC38" s="237">
        <f>IF(Table1[[#This Row],[Column12]]="","",Table1[[#This Row],[h_hargasebelumdiskon]]-Table1[[#This Row],[h_diskon]])</f>
        <v>4621050</v>
      </c>
      <c r="AD38" s="237" t="str">
        <f ca="1">IF(Table1[[#This Row],[//]]="","",SUMIF(Table1[h_id],Table1[[#This Row],[h_id]],Table1[h_hargasetelahdiskon]))</f>
        <v/>
      </c>
      <c r="AF38" s="237" t="str">
        <f>Table1[[#This Row],[Column12]]&amp;Table1[[#This Row],[Unit]]&amp;Table1[[#This Row],[Column13]]</f>
        <v>CORRECTION FLUID KENKO KE-108LSN48900</v>
      </c>
      <c r="AG38"/>
      <c r="AH38"/>
      <c r="AI38"/>
    </row>
    <row r="39" spans="1:35">
      <c r="A39" s="234" t="str">
        <f ca="1">IF(Table1[[#This Row],[No. Invoice :]]="","",ROW())</f>
        <v/>
      </c>
      <c r="B39" s="437" t="str">
        <f ca="1">IF(Table1[[#This Row],[Column3]]="","",B$1+COUNT(INDIRECT("B$2:B"&amp;ROW()-1)))</f>
        <v/>
      </c>
      <c r="C39" s="235" t="str">
        <f>IF(Table1[[#This Row],[Column2]]="","",Table1[[#This Row],[Column2]]+C$1-1)</f>
        <v/>
      </c>
      <c r="D39" s="438"/>
      <c r="E39" s="439"/>
      <c r="F39" s="437"/>
      <c r="G39" s="234" t="str">
        <f ca="1">IF(Table1[[#This Row],[h_No. Invoice :]]="","",CONCATENATE("AM"," ",Table1[[#This Row],[h_No. Invoice :]]))</f>
        <v/>
      </c>
      <c r="H39" s="437" t="str">
        <f>IF(Table1[[#This Row],[Column5]]="","",INDEX(Table2[Column1],MATCH(Table1[[#This Row],[Column5]],Table2[a],0)))</f>
        <v/>
      </c>
      <c r="I39" s="234" t="str">
        <f>IF(Table1[[#This Row],[Column3]]=0,"",CONCATENATE(UPPER(Table1[[#This Row],[Column3]])," ",Table1[[#This Row],[Column4]]))</f>
        <v xml:space="preserve"> </v>
      </c>
      <c r="J39" s="234" t="str">
        <f>IF(Table1[[#This Row],[Column5]]="","",INDEX(Table2[e],IF(Table1[[#This Row],[Column5]]="","",MATCH(Table1[[#This Row],[Column5]],Table2[a],0)),))</f>
        <v/>
      </c>
      <c r="K39" s="234"/>
      <c r="L39" s="234"/>
      <c r="N39" s="437"/>
      <c r="O39" s="437" t="str">
        <f>IF(Table1[[#This Row],[h_Item Description]]="","",INDEX([1]!db[NB PAJAK],MATCH(Table1[[#This Row],[h_Item Description]],[1]!db[kode],0)))</f>
        <v/>
      </c>
      <c r="Q39" s="237"/>
      <c r="R39" s="238"/>
      <c r="S39" s="238"/>
      <c r="T39" s="440" t="str">
        <f>Table1[[#This Row],[h_hargasetelahdiskon]]</f>
        <v/>
      </c>
      <c r="V39" s="234"/>
      <c r="W39" s="234" t="str">
        <f ca="1">IF(Table1[[#This Row],[Column12]]="","",IF(Table1[[#This Row],[//]]="",INDIRECT(ADDRESS(ROW()-1,COLUMN())),Table1[[#This Row],[//]]))</f>
        <v/>
      </c>
      <c r="X39" s="234" t="str">
        <f ca="1">IF(Table1[[#This Row],[h_id]]="","",COUNTIF(Table1[h_id],Table1[[#This Row],[h_id]]))</f>
        <v/>
      </c>
      <c r="Y39" s="237" t="str">
        <f>IF(Table1[[#This Row],[Column12]]="","",Table1[[#This Row],[Qty]]*Table1[[#This Row],[Column13]])</f>
        <v/>
      </c>
      <c r="Z39" s="440" t="str">
        <f>IF(Table1[[#This Row],[h_hargasebelumdiskon]]="","",IF(Table1[[#This Row],[Column14]]="",0,Table1[[#This Row],[h_hargasebelumdiskon]]*Table1[[#This Row],[Column14]]))</f>
        <v/>
      </c>
      <c r="AA39" s="440" t="str">
        <f>IF(Table1[[#This Row],[h_hargasebelumdiskon]]="","",IF(Table1[[#This Row],[Column15]]="",0,(Table1[[#This Row],[h_hargasebelumdiskon]]-Table1[[#This Row],[h_disc 1]])*Table1[[#This Row],[Column15]]))</f>
        <v/>
      </c>
      <c r="AB39" s="237" t="str">
        <f>IF(Table1[[#This Row],[Column12]]="","",Table1[[#This Row],[h_disc 1]]+Table1[[#This Row],[h_disc 2]])</f>
        <v/>
      </c>
      <c r="AC39" s="237" t="str">
        <f>IF(Table1[[#This Row],[Column12]]="","",Table1[[#This Row],[h_hargasebelumdiskon]]-Table1[[#This Row],[h_diskon]])</f>
        <v/>
      </c>
      <c r="AD39" s="237" t="str">
        <f ca="1">IF(Table1[[#This Row],[//]]="","",SUMIF(Table1[h_id],Table1[[#This Row],[h_id]],Table1[h_hargasetelahdiskon]))</f>
        <v/>
      </c>
      <c r="AF39" s="237" t="str">
        <f>Table1[[#This Row],[Column12]]&amp;Table1[[#This Row],[Unit]]&amp;Table1[[#This Row],[Column13]]</f>
        <v/>
      </c>
      <c r="AG39"/>
      <c r="AH39"/>
      <c r="AI39"/>
    </row>
    <row r="40" spans="1:35">
      <c r="A40" s="234">
        <f ca="1">IF(Table1[[#This Row],[No. Invoice :]]="","",ROW())</f>
        <v>40</v>
      </c>
      <c r="B40" s="437">
        <f ca="1">IF(Table1[[#This Row],[Column3]]="","",B$1+COUNT(INDIRECT("B$2:B"&amp;ROW()-1)))</f>
        <v>24050008</v>
      </c>
      <c r="C40" s="235">
        <f>IF(Table1[[#This Row],[Column2]]="","",Table1[[#This Row],[Column2]]+C$1-1)</f>
        <v>45420</v>
      </c>
      <c r="D40" s="438">
        <v>8</v>
      </c>
      <c r="E40" s="236" t="s">
        <v>259</v>
      </c>
      <c r="F40" s="234" t="s">
        <v>71</v>
      </c>
      <c r="G40" s="234" t="str">
        <f ca="1">IF(Table1[[#This Row],[h_No. Invoice :]]="","",CONCATENATE("AM"," ",Table1[[#This Row],[h_No. Invoice :]]))</f>
        <v>AM 24050008</v>
      </c>
      <c r="H40" s="437" t="str">
        <f>IF(Table1[[#This Row],[Column5]]="","",INDEX(Table2[Column1],MATCH(Table1[[#This Row],[Column5]],Table2[a],0)))</f>
        <v>KO</v>
      </c>
      <c r="I40" s="234" t="str">
        <f>IF(Table1[[#This Row],[Column3]]=0,"",CONCATENATE(UPPER(Table1[[#This Row],[Column3]])," ",Table1[[#This Row],[Column4]]))</f>
        <v>KO 4804</v>
      </c>
      <c r="J40" s="234" t="str">
        <f>IF(Table1[[#This Row],[Column5]]="","",INDEX(Table2[e],IF(Table1[[#This Row],[Column5]]="","",MATCH(Table1[[#This Row],[Column5]],Table2[a],0)),))</f>
        <v>CV SINAR CAHAYA NIRMALA BREBES</v>
      </c>
      <c r="K40" s="234">
        <v>1</v>
      </c>
      <c r="L40" s="234" t="s">
        <v>186</v>
      </c>
      <c r="N40" s="234" t="s">
        <v>268</v>
      </c>
      <c r="O40" s="437" t="str">
        <f>IF(Table1[[#This Row],[h_Item Description]]="","",INDEX([1]!db[NB PAJAK],MATCH(Table1[[#This Row],[h_Item Description]],[1]!db[kode],0)))</f>
        <v>PENCIL CASE 23 x 8.5 MAGNET FY-6823</v>
      </c>
      <c r="P40" s="234" t="s">
        <v>270</v>
      </c>
      <c r="Q40" s="237">
        <v>200000</v>
      </c>
      <c r="R40" s="238"/>
      <c r="S40" s="238"/>
      <c r="T40" s="440">
        <f>Table1[[#This Row],[h_hargasetelahdiskon]]</f>
        <v>200000</v>
      </c>
      <c r="U40" s="237" t="s">
        <v>129</v>
      </c>
      <c r="V40" s="234"/>
      <c r="W40" s="234">
        <f ca="1">IF(Table1[[#This Row],[Column12]]="","",IF(Table1[[#This Row],[//]]="",INDIRECT(ADDRESS(ROW()-1,COLUMN())),Table1[[#This Row],[//]]))</f>
        <v>40</v>
      </c>
      <c r="X40" s="234">
        <f ca="1">IF(Table1[[#This Row],[h_id]]="","",COUNTIF(Table1[h_id],Table1[[#This Row],[h_id]]))</f>
        <v>9</v>
      </c>
      <c r="Y40" s="237">
        <f>IF(Table1[[#This Row],[Column12]]="","",Table1[[#This Row],[Qty]]*Table1[[#This Row],[Column13]])</f>
        <v>200000</v>
      </c>
      <c r="Z40" s="440">
        <f>IF(Table1[[#This Row],[h_hargasebelumdiskon]]="","",IF(Table1[[#This Row],[Column14]]="",0,Table1[[#This Row],[h_hargasebelumdiskon]]*Table1[[#This Row],[Column14]]))</f>
        <v>0</v>
      </c>
      <c r="AA40" s="440">
        <f>IF(Table1[[#This Row],[h_hargasebelumdiskon]]="","",IF(Table1[[#This Row],[Column15]]="",0,(Table1[[#This Row],[h_hargasebelumdiskon]]-Table1[[#This Row],[h_disc 1]])*Table1[[#This Row],[Column15]]))</f>
        <v>0</v>
      </c>
      <c r="AB40" s="237">
        <f>IF(Table1[[#This Row],[Column12]]="","",Table1[[#This Row],[h_disc 1]]+Table1[[#This Row],[h_disc 2]])</f>
        <v>0</v>
      </c>
      <c r="AC40" s="237">
        <f>IF(Table1[[#This Row],[Column12]]="","",Table1[[#This Row],[h_hargasebelumdiskon]]-Table1[[#This Row],[h_diskon]])</f>
        <v>200000</v>
      </c>
      <c r="AD40" s="237">
        <f ca="1">IF(Table1[[#This Row],[//]]="","",SUMIF(Table1[h_id],Table1[[#This Row],[h_id]],Table1[h_hargasetelahdiskon]))</f>
        <v>1537320</v>
      </c>
      <c r="AF40" s="237" t="str">
        <f>Table1[[#This Row],[Column12]]&amp;Table1[[#This Row],[Unit]]&amp;Table1[[#This Row],[Column13]]</f>
        <v>PENCIL CASE 23 x 8.5 MAGNET FY-6823LSN200000</v>
      </c>
      <c r="AG40"/>
      <c r="AH40"/>
      <c r="AI40"/>
    </row>
    <row r="41" spans="1:35">
      <c r="A41" s="234" t="str">
        <f ca="1">IF(Table1[[#This Row],[No. Invoice :]]="","",ROW())</f>
        <v/>
      </c>
      <c r="B41" s="437" t="str">
        <f ca="1">IF(Table1[[#This Row],[Column3]]="","",B$1+COUNT(INDIRECT("B$2:B"&amp;ROW()-1)))</f>
        <v/>
      </c>
      <c r="C41" s="235" t="str">
        <f>IF(Table1[[#This Row],[Column2]]="","",Table1[[#This Row],[Column2]]+C$1-1)</f>
        <v/>
      </c>
      <c r="D41" s="438"/>
      <c r="E41" s="439"/>
      <c r="F41" s="437"/>
      <c r="G41" s="234" t="str">
        <f ca="1">IF(Table1[[#This Row],[h_No. Invoice :]]="","",CONCATENATE("AM"," ",Table1[[#This Row],[h_No. Invoice :]]))</f>
        <v/>
      </c>
      <c r="H41" s="437" t="str">
        <f>IF(Table1[[#This Row],[Column5]]="","",INDEX(Table2[Column1],MATCH(Table1[[#This Row],[Column5]],Table2[a],0)))</f>
        <v/>
      </c>
      <c r="I41" s="234" t="str">
        <f>IF(Table1[[#This Row],[Column3]]=0,"",CONCATENATE(UPPER(Table1[[#This Row],[Column3]])," ",Table1[[#This Row],[Column4]]))</f>
        <v xml:space="preserve"> </v>
      </c>
      <c r="J41" s="234" t="str">
        <f>IF(Table1[[#This Row],[Column5]]="","",INDEX(Table2[e],IF(Table1[[#This Row],[Column5]]="","",MATCH(Table1[[#This Row],[Column5]],Table2[a],0)),))</f>
        <v/>
      </c>
      <c r="K41" s="234">
        <v>1</v>
      </c>
      <c r="L41" s="234" t="s">
        <v>186</v>
      </c>
      <c r="N41" s="234" t="s">
        <v>260</v>
      </c>
      <c r="O41" s="437" t="str">
        <f>IF(Table1[[#This Row],[h_Item Description]]="","",INDEX([1]!db[NB PAJAK],MATCH(Table1[[#This Row],[h_Item Description]],[1]!db[kode],0)))</f>
        <v>PENCIL CASE 22 x 7.5 MAGNET C-2755</v>
      </c>
      <c r="P41" s="234" t="s">
        <v>271</v>
      </c>
      <c r="Q41" s="237">
        <v>175000</v>
      </c>
      <c r="R41" s="238"/>
      <c r="S41" s="238"/>
      <c r="T41" s="440">
        <f>Table1[[#This Row],[h_hargasetelahdiskon]]</f>
        <v>175000</v>
      </c>
      <c r="V41" s="234"/>
      <c r="W41" s="234">
        <f ca="1">IF(Table1[[#This Row],[Column12]]="","",IF(Table1[[#This Row],[//]]="",INDIRECT(ADDRESS(ROW()-1,COLUMN())),Table1[[#This Row],[//]]))</f>
        <v>40</v>
      </c>
      <c r="X41" s="234">
        <f ca="1">IF(Table1[[#This Row],[h_id]]="","",COUNTIF(Table1[h_id],Table1[[#This Row],[h_id]]))</f>
        <v>9</v>
      </c>
      <c r="Y41" s="237">
        <f>IF(Table1[[#This Row],[Column12]]="","",Table1[[#This Row],[Qty]]*Table1[[#This Row],[Column13]])</f>
        <v>175000</v>
      </c>
      <c r="Z41" s="440">
        <f>IF(Table1[[#This Row],[h_hargasebelumdiskon]]="","",IF(Table1[[#This Row],[Column14]]="",0,Table1[[#This Row],[h_hargasebelumdiskon]]*Table1[[#This Row],[Column14]]))</f>
        <v>0</v>
      </c>
      <c r="AA41" s="440">
        <f>IF(Table1[[#This Row],[h_hargasebelumdiskon]]="","",IF(Table1[[#This Row],[Column15]]="",0,(Table1[[#This Row],[h_hargasebelumdiskon]]-Table1[[#This Row],[h_disc 1]])*Table1[[#This Row],[Column15]]))</f>
        <v>0</v>
      </c>
      <c r="AB41" s="237">
        <f>IF(Table1[[#This Row],[Column12]]="","",Table1[[#This Row],[h_disc 1]]+Table1[[#This Row],[h_disc 2]])</f>
        <v>0</v>
      </c>
      <c r="AC41" s="237">
        <f>IF(Table1[[#This Row],[Column12]]="","",Table1[[#This Row],[h_hargasebelumdiskon]]-Table1[[#This Row],[h_diskon]])</f>
        <v>175000</v>
      </c>
      <c r="AD41" s="237" t="str">
        <f ca="1">IF(Table1[[#This Row],[//]]="","",SUMIF(Table1[h_id],Table1[[#This Row],[h_id]],Table1[h_hargasetelahdiskon]))</f>
        <v/>
      </c>
      <c r="AF41" s="237" t="str">
        <f>Table1[[#This Row],[Column12]]&amp;Table1[[#This Row],[Unit]]&amp;Table1[[#This Row],[Column13]]</f>
        <v>PENCIL CASE 22 x 7.5 MAGNET C-2755LSN175000</v>
      </c>
      <c r="AG41"/>
      <c r="AH41"/>
      <c r="AI41"/>
    </row>
    <row r="42" spans="1:35">
      <c r="A42" s="234" t="str">
        <f ca="1">IF(Table1[[#This Row],[No. Invoice :]]="","",ROW())</f>
        <v/>
      </c>
      <c r="B42" s="437" t="str">
        <f ca="1">IF(Table1[[#This Row],[Column3]]="","",B$1+COUNT(INDIRECT("B$2:B"&amp;ROW()-1)))</f>
        <v/>
      </c>
      <c r="C42" s="235" t="str">
        <f>IF(Table1[[#This Row],[Column2]]="","",Table1[[#This Row],[Column2]]+C$1-1)</f>
        <v/>
      </c>
      <c r="D42" s="438"/>
      <c r="E42" s="439"/>
      <c r="F42" s="437"/>
      <c r="G42" s="234" t="str">
        <f ca="1">IF(Table1[[#This Row],[h_No. Invoice :]]="","",CONCATENATE("AM"," ",Table1[[#This Row],[h_No. Invoice :]]))</f>
        <v/>
      </c>
      <c r="H42" s="437" t="str">
        <f>IF(Table1[[#This Row],[Column5]]="","",INDEX(Table2[Column1],MATCH(Table1[[#This Row],[Column5]],Table2[a],0)))</f>
        <v/>
      </c>
      <c r="I42" s="234" t="str">
        <f>IF(Table1[[#This Row],[Column3]]=0,"",CONCATENATE(UPPER(Table1[[#This Row],[Column3]])," ",Table1[[#This Row],[Column4]]))</f>
        <v xml:space="preserve"> </v>
      </c>
      <c r="J42" s="234" t="str">
        <f>IF(Table1[[#This Row],[Column5]]="","",INDEX(Table2[e],IF(Table1[[#This Row],[Column5]]="","",MATCH(Table1[[#This Row],[Column5]],Table2[a],0)),))</f>
        <v/>
      </c>
      <c r="K42" s="234">
        <v>1</v>
      </c>
      <c r="L42" s="234" t="s">
        <v>186</v>
      </c>
      <c r="N42" s="234" t="s">
        <v>261</v>
      </c>
      <c r="O42" s="437" t="str">
        <f>IF(Table1[[#This Row],[h_Item Description]]="","",INDEX([1]!db[NB PAJAK],MATCH(Table1[[#This Row],[h_Item Description]],[1]!db[kode],0)))</f>
        <v>PENCIL CASE 22 x 7.5 MAGNET FY-6822</v>
      </c>
      <c r="P42" s="234" t="s">
        <v>272</v>
      </c>
      <c r="Q42" s="237">
        <v>175000</v>
      </c>
      <c r="R42" s="238"/>
      <c r="S42" s="238"/>
      <c r="T42" s="440">
        <f>Table1[[#This Row],[h_hargasetelahdiskon]]</f>
        <v>175000</v>
      </c>
      <c r="V42" s="234"/>
      <c r="W42" s="234">
        <f ca="1">IF(Table1[[#This Row],[Column12]]="","",IF(Table1[[#This Row],[//]]="",INDIRECT(ADDRESS(ROW()-1,COLUMN())),Table1[[#This Row],[//]]))</f>
        <v>40</v>
      </c>
      <c r="X42" s="234">
        <f ca="1">IF(Table1[[#This Row],[h_id]]="","",COUNTIF(Table1[h_id],Table1[[#This Row],[h_id]]))</f>
        <v>9</v>
      </c>
      <c r="Y42" s="237">
        <f>IF(Table1[[#This Row],[Column12]]="","",Table1[[#This Row],[Qty]]*Table1[[#This Row],[Column13]])</f>
        <v>175000</v>
      </c>
      <c r="Z42" s="440">
        <f>IF(Table1[[#This Row],[h_hargasebelumdiskon]]="","",IF(Table1[[#This Row],[Column14]]="",0,Table1[[#This Row],[h_hargasebelumdiskon]]*Table1[[#This Row],[Column14]]))</f>
        <v>0</v>
      </c>
      <c r="AA42" s="440">
        <f>IF(Table1[[#This Row],[h_hargasebelumdiskon]]="","",IF(Table1[[#This Row],[Column15]]="",0,(Table1[[#This Row],[h_hargasebelumdiskon]]-Table1[[#This Row],[h_disc 1]])*Table1[[#This Row],[Column15]]))</f>
        <v>0</v>
      </c>
      <c r="AB42" s="237">
        <f>IF(Table1[[#This Row],[Column12]]="","",Table1[[#This Row],[h_disc 1]]+Table1[[#This Row],[h_disc 2]])</f>
        <v>0</v>
      </c>
      <c r="AC42" s="237">
        <f>IF(Table1[[#This Row],[Column12]]="","",Table1[[#This Row],[h_hargasebelumdiskon]]-Table1[[#This Row],[h_diskon]])</f>
        <v>175000</v>
      </c>
      <c r="AD42" s="237" t="str">
        <f ca="1">IF(Table1[[#This Row],[//]]="","",SUMIF(Table1[h_id],Table1[[#This Row],[h_id]],Table1[h_hargasetelahdiskon]))</f>
        <v/>
      </c>
      <c r="AF42" s="237" t="str">
        <f>Table1[[#This Row],[Column12]]&amp;Table1[[#This Row],[Unit]]&amp;Table1[[#This Row],[Column13]]</f>
        <v>PENCIL CASE 22 x 7.5 MAGNET FY-6822LSN175000</v>
      </c>
      <c r="AG42"/>
      <c r="AH42"/>
      <c r="AI42"/>
    </row>
    <row r="43" spans="1:35">
      <c r="A43" s="234" t="str">
        <f ca="1">IF(Table1[[#This Row],[No. Invoice :]]="","",ROW())</f>
        <v/>
      </c>
      <c r="B43" s="437" t="str">
        <f ca="1">IF(Table1[[#This Row],[Column3]]="","",B$1+COUNT(INDIRECT("B$2:B"&amp;ROW()-1)))</f>
        <v/>
      </c>
      <c r="C43" s="235" t="str">
        <f>IF(Table1[[#This Row],[Column2]]="","",Table1[[#This Row],[Column2]]+C$1-1)</f>
        <v/>
      </c>
      <c r="D43" s="438"/>
      <c r="E43" s="439"/>
      <c r="F43" s="437"/>
      <c r="G43" s="234" t="str">
        <f ca="1">IF(Table1[[#This Row],[h_No. Invoice :]]="","",CONCATENATE("AM"," ",Table1[[#This Row],[h_No. Invoice :]]))</f>
        <v/>
      </c>
      <c r="H43" s="437" t="str">
        <f>IF(Table1[[#This Row],[Column5]]="","",INDEX(Table2[Column1],MATCH(Table1[[#This Row],[Column5]],Table2[a],0)))</f>
        <v/>
      </c>
      <c r="I43" s="234" t="str">
        <f>IF(Table1[[#This Row],[Column3]]=0,"",CONCATENATE(UPPER(Table1[[#This Row],[Column3]])," ",Table1[[#This Row],[Column4]]))</f>
        <v xml:space="preserve"> </v>
      </c>
      <c r="J43" s="234" t="str">
        <f>IF(Table1[[#This Row],[Column5]]="","",INDEX(Table2[e],IF(Table1[[#This Row],[Column5]]="","",MATCH(Table1[[#This Row],[Column5]],Table2[a],0)),))</f>
        <v/>
      </c>
      <c r="K43" s="234">
        <v>1</v>
      </c>
      <c r="L43" s="234" t="s">
        <v>186</v>
      </c>
      <c r="N43" s="234" t="s">
        <v>262</v>
      </c>
      <c r="O43" s="437" t="str">
        <f>IF(Table1[[#This Row],[h_Item Description]]="","",INDEX([1]!db[NB PAJAK],MATCH(Table1[[#This Row],[h_Item Description]],[1]!db[kode],0)))</f>
        <v>PENCIL CASE 23 x 8.5 MAGNET JH-220A</v>
      </c>
      <c r="P43" s="234" t="s">
        <v>273</v>
      </c>
      <c r="Q43" s="237">
        <v>175000</v>
      </c>
      <c r="R43" s="238"/>
      <c r="S43" s="238"/>
      <c r="T43" s="440">
        <f>Table1[[#This Row],[h_hargasetelahdiskon]]</f>
        <v>175000</v>
      </c>
      <c r="V43" s="234"/>
      <c r="W43" s="234">
        <f ca="1">IF(Table1[[#This Row],[Column12]]="","",IF(Table1[[#This Row],[//]]="",INDIRECT(ADDRESS(ROW()-1,COLUMN())),Table1[[#This Row],[//]]))</f>
        <v>40</v>
      </c>
      <c r="X43" s="234">
        <f ca="1">IF(Table1[[#This Row],[h_id]]="","",COUNTIF(Table1[h_id],Table1[[#This Row],[h_id]]))</f>
        <v>9</v>
      </c>
      <c r="Y43" s="237">
        <f>IF(Table1[[#This Row],[Column12]]="","",Table1[[#This Row],[Qty]]*Table1[[#This Row],[Column13]])</f>
        <v>175000</v>
      </c>
      <c r="Z43" s="440">
        <f>IF(Table1[[#This Row],[h_hargasebelumdiskon]]="","",IF(Table1[[#This Row],[Column14]]="",0,Table1[[#This Row],[h_hargasebelumdiskon]]*Table1[[#This Row],[Column14]]))</f>
        <v>0</v>
      </c>
      <c r="AA43" s="440">
        <f>IF(Table1[[#This Row],[h_hargasebelumdiskon]]="","",IF(Table1[[#This Row],[Column15]]="",0,(Table1[[#This Row],[h_hargasebelumdiskon]]-Table1[[#This Row],[h_disc 1]])*Table1[[#This Row],[Column15]]))</f>
        <v>0</v>
      </c>
      <c r="AB43" s="237">
        <f>IF(Table1[[#This Row],[Column12]]="","",Table1[[#This Row],[h_disc 1]]+Table1[[#This Row],[h_disc 2]])</f>
        <v>0</v>
      </c>
      <c r="AC43" s="237">
        <f>IF(Table1[[#This Row],[Column12]]="","",Table1[[#This Row],[h_hargasebelumdiskon]]-Table1[[#This Row],[h_diskon]])</f>
        <v>175000</v>
      </c>
      <c r="AD43" s="237" t="str">
        <f ca="1">IF(Table1[[#This Row],[//]]="","",SUMIF(Table1[h_id],Table1[[#This Row],[h_id]],Table1[h_hargasetelahdiskon]))</f>
        <v/>
      </c>
      <c r="AF43" s="237" t="str">
        <f>Table1[[#This Row],[Column12]]&amp;Table1[[#This Row],[Unit]]&amp;Table1[[#This Row],[Column13]]</f>
        <v>PENCIL CASE 23 x 8.5 MAGNET JH-220ALSN175000</v>
      </c>
      <c r="AG43"/>
      <c r="AH43"/>
      <c r="AI43"/>
    </row>
    <row r="44" spans="1:35">
      <c r="A44" s="234" t="str">
        <f ca="1">IF(Table1[[#This Row],[No. Invoice :]]="","",ROW())</f>
        <v/>
      </c>
      <c r="B44" s="437" t="str">
        <f ca="1">IF(Table1[[#This Row],[Column3]]="","",B$1+COUNT(INDIRECT("B$2:B"&amp;ROW()-1)))</f>
        <v/>
      </c>
      <c r="C44" s="235" t="str">
        <f>IF(Table1[[#This Row],[Column2]]="","",Table1[[#This Row],[Column2]]+C$1-1)</f>
        <v/>
      </c>
      <c r="D44" s="438"/>
      <c r="E44" s="439"/>
      <c r="F44" s="437"/>
      <c r="G44" s="234" t="str">
        <f ca="1">IF(Table1[[#This Row],[h_No. Invoice :]]="","",CONCATENATE("AM"," ",Table1[[#This Row],[h_No. Invoice :]]))</f>
        <v/>
      </c>
      <c r="H44" s="437" t="str">
        <f>IF(Table1[[#This Row],[Column5]]="","",INDEX(Table2[Column1],MATCH(Table1[[#This Row],[Column5]],Table2[a],0)))</f>
        <v/>
      </c>
      <c r="I44" s="234" t="str">
        <f>IF(Table1[[#This Row],[Column3]]=0,"",CONCATENATE(UPPER(Table1[[#This Row],[Column3]])," ",Table1[[#This Row],[Column4]]))</f>
        <v xml:space="preserve"> </v>
      </c>
      <c r="J44" s="234" t="str">
        <f>IF(Table1[[#This Row],[Column5]]="","",INDEX(Table2[e],IF(Table1[[#This Row],[Column5]]="","",MATCH(Table1[[#This Row],[Column5]],Table2[a],0)),))</f>
        <v/>
      </c>
      <c r="K44" s="234">
        <v>1</v>
      </c>
      <c r="L44" s="234" t="s">
        <v>186</v>
      </c>
      <c r="N44" s="234" t="s">
        <v>263</v>
      </c>
      <c r="O44" s="437" t="str">
        <f>IF(Table1[[#This Row],[h_Item Description]]="","",INDEX([1]!db[NB PAJAK],MATCH(Table1[[#This Row],[h_Item Description]],[1]!db[kode],0)))</f>
        <v xml:space="preserve">PENCIL CASE/ STUDY SET 20.5 x 7 KALENG K-597 MOBIL </v>
      </c>
      <c r="P44" s="234" t="s">
        <v>274</v>
      </c>
      <c r="Q44" s="237">
        <v>150000</v>
      </c>
      <c r="R44" s="238"/>
      <c r="S44" s="238"/>
      <c r="T44" s="440">
        <f>Table1[[#This Row],[h_hargasetelahdiskon]]</f>
        <v>150000</v>
      </c>
      <c r="V44" s="234"/>
      <c r="W44" s="234">
        <f ca="1">IF(Table1[[#This Row],[Column12]]="","",IF(Table1[[#This Row],[//]]="",INDIRECT(ADDRESS(ROW()-1,COLUMN())),Table1[[#This Row],[//]]))</f>
        <v>40</v>
      </c>
      <c r="X44" s="234">
        <f ca="1">IF(Table1[[#This Row],[h_id]]="","",COUNTIF(Table1[h_id],Table1[[#This Row],[h_id]]))</f>
        <v>9</v>
      </c>
      <c r="Y44" s="237">
        <f>IF(Table1[[#This Row],[Column12]]="","",Table1[[#This Row],[Qty]]*Table1[[#This Row],[Column13]])</f>
        <v>150000</v>
      </c>
      <c r="Z44" s="440">
        <f>IF(Table1[[#This Row],[h_hargasebelumdiskon]]="","",IF(Table1[[#This Row],[Column14]]="",0,Table1[[#This Row],[h_hargasebelumdiskon]]*Table1[[#This Row],[Column14]]))</f>
        <v>0</v>
      </c>
      <c r="AA44" s="440">
        <f>IF(Table1[[#This Row],[h_hargasebelumdiskon]]="","",IF(Table1[[#This Row],[Column15]]="",0,(Table1[[#This Row],[h_hargasebelumdiskon]]-Table1[[#This Row],[h_disc 1]])*Table1[[#This Row],[Column15]]))</f>
        <v>0</v>
      </c>
      <c r="AB44" s="237">
        <f>IF(Table1[[#This Row],[Column12]]="","",Table1[[#This Row],[h_disc 1]]+Table1[[#This Row],[h_disc 2]])</f>
        <v>0</v>
      </c>
      <c r="AC44" s="237">
        <f>IF(Table1[[#This Row],[Column12]]="","",Table1[[#This Row],[h_hargasebelumdiskon]]-Table1[[#This Row],[h_diskon]])</f>
        <v>150000</v>
      </c>
      <c r="AD44" s="237" t="str">
        <f ca="1">IF(Table1[[#This Row],[//]]="","",SUMIF(Table1[h_id],Table1[[#This Row],[h_id]],Table1[h_hargasetelahdiskon]))</f>
        <v/>
      </c>
      <c r="AF44" s="237" t="str">
        <f>Table1[[#This Row],[Column12]]&amp;Table1[[#This Row],[Unit]]&amp;Table1[[#This Row],[Column13]]</f>
        <v>PENCIL CASE/ STUDY SET 20.5 x 7 KALENG K-597 MOBIL LSN150000</v>
      </c>
      <c r="AG44"/>
      <c r="AH44"/>
      <c r="AI44"/>
    </row>
    <row r="45" spans="1:35">
      <c r="A45" s="234" t="str">
        <f ca="1">IF(Table1[[#This Row],[No. Invoice :]]="","",ROW())</f>
        <v/>
      </c>
      <c r="B45" s="437" t="str">
        <f ca="1">IF(Table1[[#This Row],[Column3]]="","",B$1+COUNT(INDIRECT("B$2:B"&amp;ROW()-1)))</f>
        <v/>
      </c>
      <c r="C45" s="235" t="str">
        <f>IF(Table1[[#This Row],[Column2]]="","",Table1[[#This Row],[Column2]]+C$1-1)</f>
        <v/>
      </c>
      <c r="D45" s="438"/>
      <c r="E45" s="439"/>
      <c r="F45" s="437"/>
      <c r="G45" s="234" t="str">
        <f ca="1">IF(Table1[[#This Row],[h_No. Invoice :]]="","",CONCATENATE("AM"," ",Table1[[#This Row],[h_No. Invoice :]]))</f>
        <v/>
      </c>
      <c r="H45" s="437" t="str">
        <f>IF(Table1[[#This Row],[Column5]]="","",INDEX(Table2[Column1],MATCH(Table1[[#This Row],[Column5]],Table2[a],0)))</f>
        <v/>
      </c>
      <c r="I45" s="234" t="str">
        <f>IF(Table1[[#This Row],[Column3]]=0,"",CONCATENATE(UPPER(Table1[[#This Row],[Column3]])," ",Table1[[#This Row],[Column4]]))</f>
        <v xml:space="preserve"> </v>
      </c>
      <c r="J45" s="234" t="str">
        <f>IF(Table1[[#This Row],[Column5]]="","",INDEX(Table2[e],IF(Table1[[#This Row],[Column5]]="","",MATCH(Table1[[#This Row],[Column5]],Table2[a],0)),))</f>
        <v/>
      </c>
      <c r="K45" s="234">
        <v>1</v>
      </c>
      <c r="L45" s="234" t="s">
        <v>186</v>
      </c>
      <c r="N45" s="234" t="s">
        <v>264</v>
      </c>
      <c r="O45" s="437" t="str">
        <f>IF(Table1[[#This Row],[h_Item Description]]="","",INDEX([1]!db[NB PAJAK],MATCH(Table1[[#This Row],[h_Item Description]],[1]!db[kode],0)))</f>
        <v>PENCIL CASE 22 x 7.5 MAGNET FC-1760 (TIMBUL)</v>
      </c>
      <c r="P45" s="234" t="s">
        <v>275</v>
      </c>
      <c r="Q45" s="237">
        <v>175000</v>
      </c>
      <c r="R45" s="238"/>
      <c r="S45" s="238"/>
      <c r="T45" s="440">
        <f>Table1[[#This Row],[h_hargasetelahdiskon]]</f>
        <v>175000</v>
      </c>
      <c r="V45" s="234"/>
      <c r="W45" s="234">
        <f ca="1">IF(Table1[[#This Row],[Column12]]="","",IF(Table1[[#This Row],[//]]="",INDIRECT(ADDRESS(ROW()-1,COLUMN())),Table1[[#This Row],[//]]))</f>
        <v>40</v>
      </c>
      <c r="X45" s="234">
        <f ca="1">IF(Table1[[#This Row],[h_id]]="","",COUNTIF(Table1[h_id],Table1[[#This Row],[h_id]]))</f>
        <v>9</v>
      </c>
      <c r="Y45" s="237">
        <f>IF(Table1[[#This Row],[Column12]]="","",Table1[[#This Row],[Qty]]*Table1[[#This Row],[Column13]])</f>
        <v>175000</v>
      </c>
      <c r="Z45" s="440">
        <f>IF(Table1[[#This Row],[h_hargasebelumdiskon]]="","",IF(Table1[[#This Row],[Column14]]="",0,Table1[[#This Row],[h_hargasebelumdiskon]]*Table1[[#This Row],[Column14]]))</f>
        <v>0</v>
      </c>
      <c r="AA45" s="440">
        <f>IF(Table1[[#This Row],[h_hargasebelumdiskon]]="","",IF(Table1[[#This Row],[Column15]]="",0,(Table1[[#This Row],[h_hargasebelumdiskon]]-Table1[[#This Row],[h_disc 1]])*Table1[[#This Row],[Column15]]))</f>
        <v>0</v>
      </c>
      <c r="AB45" s="237">
        <f>IF(Table1[[#This Row],[Column12]]="","",Table1[[#This Row],[h_disc 1]]+Table1[[#This Row],[h_disc 2]])</f>
        <v>0</v>
      </c>
      <c r="AC45" s="237">
        <f>IF(Table1[[#This Row],[Column12]]="","",Table1[[#This Row],[h_hargasebelumdiskon]]-Table1[[#This Row],[h_diskon]])</f>
        <v>175000</v>
      </c>
      <c r="AD45" s="237" t="str">
        <f ca="1">IF(Table1[[#This Row],[//]]="","",SUMIF(Table1[h_id],Table1[[#This Row],[h_id]],Table1[h_hargasetelahdiskon]))</f>
        <v/>
      </c>
      <c r="AF45" s="237" t="str">
        <f>Table1[[#This Row],[Column12]]&amp;Table1[[#This Row],[Unit]]&amp;Table1[[#This Row],[Column13]]</f>
        <v>PENCIL CASE 22 x 7.5 MAGNET FC-1760 (TIMBUL)LSN175000</v>
      </c>
      <c r="AG45"/>
      <c r="AH45"/>
      <c r="AI45"/>
    </row>
    <row r="46" spans="1:35">
      <c r="A46" s="234" t="str">
        <f ca="1">IF(Table1[[#This Row],[No. Invoice :]]="","",ROW())</f>
        <v/>
      </c>
      <c r="B46" s="437" t="str">
        <f ca="1">IF(Table1[[#This Row],[Column3]]="","",B$1+COUNT(INDIRECT("B$2:B"&amp;ROW()-1)))</f>
        <v/>
      </c>
      <c r="C46" s="235" t="str">
        <f>IF(Table1[[#This Row],[Column2]]="","",Table1[[#This Row],[Column2]]+C$1-1)</f>
        <v/>
      </c>
      <c r="D46" s="438"/>
      <c r="E46" s="439"/>
      <c r="F46" s="437"/>
      <c r="G46" s="234" t="str">
        <f ca="1">IF(Table1[[#This Row],[h_No. Invoice :]]="","",CONCATENATE("AM"," ",Table1[[#This Row],[h_No. Invoice :]]))</f>
        <v/>
      </c>
      <c r="H46" s="437" t="str">
        <f>IF(Table1[[#This Row],[Column5]]="","",INDEX(Table2[Column1],MATCH(Table1[[#This Row],[Column5]],Table2[a],0)))</f>
        <v/>
      </c>
      <c r="I46" s="234" t="str">
        <f>IF(Table1[[#This Row],[Column3]]=0,"",CONCATENATE(UPPER(Table1[[#This Row],[Column3]])," ",Table1[[#This Row],[Column4]]))</f>
        <v xml:space="preserve"> </v>
      </c>
      <c r="J46" s="234" t="str">
        <f>IF(Table1[[#This Row],[Column5]]="","",INDEX(Table2[e],IF(Table1[[#This Row],[Column5]]="","",MATCH(Table1[[#This Row],[Column5]],Table2[a],0)),))</f>
        <v/>
      </c>
      <c r="K46" s="234">
        <v>1</v>
      </c>
      <c r="L46" s="234" t="s">
        <v>186</v>
      </c>
      <c r="N46" s="234" t="s">
        <v>265</v>
      </c>
      <c r="O46" s="437" t="str">
        <f>IF(Table1[[#This Row],[h_Item Description]]="","",INDEX([1]!db[NB PAJAK],MATCH(Table1[[#This Row],[h_Item Description]],[1]!db[kode],0)))</f>
        <v>PENCIL CASE 22 x 7.5 MAGNET FC-1757</v>
      </c>
      <c r="P46" s="234" t="s">
        <v>276</v>
      </c>
      <c r="Q46" s="237">
        <v>175000</v>
      </c>
      <c r="R46" s="238"/>
      <c r="S46" s="238"/>
      <c r="T46" s="440">
        <f>Table1[[#This Row],[h_hargasetelahdiskon]]</f>
        <v>175000</v>
      </c>
      <c r="V46" s="234"/>
      <c r="W46" s="234">
        <f ca="1">IF(Table1[[#This Row],[Column12]]="","",IF(Table1[[#This Row],[//]]="",INDIRECT(ADDRESS(ROW()-1,COLUMN())),Table1[[#This Row],[//]]))</f>
        <v>40</v>
      </c>
      <c r="X46" s="234">
        <f ca="1">IF(Table1[[#This Row],[h_id]]="","",COUNTIF(Table1[h_id],Table1[[#This Row],[h_id]]))</f>
        <v>9</v>
      </c>
      <c r="Y46" s="237">
        <f>IF(Table1[[#This Row],[Column12]]="","",Table1[[#This Row],[Qty]]*Table1[[#This Row],[Column13]])</f>
        <v>175000</v>
      </c>
      <c r="Z46" s="440">
        <f>IF(Table1[[#This Row],[h_hargasebelumdiskon]]="","",IF(Table1[[#This Row],[Column14]]="",0,Table1[[#This Row],[h_hargasebelumdiskon]]*Table1[[#This Row],[Column14]]))</f>
        <v>0</v>
      </c>
      <c r="AA46" s="440">
        <f>IF(Table1[[#This Row],[h_hargasebelumdiskon]]="","",IF(Table1[[#This Row],[Column15]]="",0,(Table1[[#This Row],[h_hargasebelumdiskon]]-Table1[[#This Row],[h_disc 1]])*Table1[[#This Row],[Column15]]))</f>
        <v>0</v>
      </c>
      <c r="AB46" s="237">
        <f>IF(Table1[[#This Row],[Column12]]="","",Table1[[#This Row],[h_disc 1]]+Table1[[#This Row],[h_disc 2]])</f>
        <v>0</v>
      </c>
      <c r="AC46" s="237">
        <f>IF(Table1[[#This Row],[Column12]]="","",Table1[[#This Row],[h_hargasebelumdiskon]]-Table1[[#This Row],[h_diskon]])</f>
        <v>175000</v>
      </c>
      <c r="AD46" s="237" t="str">
        <f ca="1">IF(Table1[[#This Row],[//]]="","",SUMIF(Table1[h_id],Table1[[#This Row],[h_id]],Table1[h_hargasetelahdiskon]))</f>
        <v/>
      </c>
      <c r="AF46" s="237" t="str">
        <f>Table1[[#This Row],[Column12]]&amp;Table1[[#This Row],[Unit]]&amp;Table1[[#This Row],[Column13]]</f>
        <v>PENCIL CASE 22 x 7.5 MAGNET FC-1757LSN175000</v>
      </c>
      <c r="AG46"/>
      <c r="AH46"/>
      <c r="AI46"/>
    </row>
    <row r="47" spans="1:35">
      <c r="A47" s="234" t="str">
        <f ca="1">IF(Table1[[#This Row],[No. Invoice :]]="","",ROW())</f>
        <v/>
      </c>
      <c r="B47" s="437" t="str">
        <f ca="1">IF(Table1[[#This Row],[Column3]]="","",B$1+COUNT(INDIRECT("B$2:B"&amp;ROW()-1)))</f>
        <v/>
      </c>
      <c r="C47" s="235" t="str">
        <f>IF(Table1[[#This Row],[Column2]]="","",Table1[[#This Row],[Column2]]+C$1-1)</f>
        <v/>
      </c>
      <c r="D47" s="438"/>
      <c r="E47" s="439"/>
      <c r="F47" s="437"/>
      <c r="G47" s="234" t="str">
        <f ca="1">IF(Table1[[#This Row],[h_No. Invoice :]]="","",CONCATENATE("AM"," ",Table1[[#This Row],[h_No. Invoice :]]))</f>
        <v/>
      </c>
      <c r="H47" s="437" t="str">
        <f>IF(Table1[[#This Row],[Column5]]="","",INDEX(Table2[Column1],MATCH(Table1[[#This Row],[Column5]],Table2[a],0)))</f>
        <v/>
      </c>
      <c r="I47" s="234" t="str">
        <f>IF(Table1[[#This Row],[Column3]]=0,"",CONCATENATE(UPPER(Table1[[#This Row],[Column3]])," ",Table1[[#This Row],[Column4]]))</f>
        <v xml:space="preserve"> </v>
      </c>
      <c r="J47" s="234" t="str">
        <f>IF(Table1[[#This Row],[Column5]]="","",INDEX(Table2[e],IF(Table1[[#This Row],[Column5]]="","",MATCH(Table1[[#This Row],[Column5]],Table2[a],0)),))</f>
        <v/>
      </c>
      <c r="K47" s="234">
        <v>1</v>
      </c>
      <c r="L47" s="234" t="s">
        <v>186</v>
      </c>
      <c r="N47" s="234" t="s">
        <v>266</v>
      </c>
      <c r="O47" s="437" t="str">
        <f>IF(Table1[[#This Row],[h_Item Description]]="","",INDEX([1]!db[NB PAJAK],MATCH(Table1[[#This Row],[h_Item Description]],[1]!db[kode],0)))</f>
        <v>PENCIL CASE 23 x 8.5 MAGNET 3D FC-5223</v>
      </c>
      <c r="P47" s="234" t="s">
        <v>277</v>
      </c>
      <c r="Q47" s="237">
        <v>200000</v>
      </c>
      <c r="R47" s="238"/>
      <c r="S47" s="238"/>
      <c r="T47" s="440">
        <f>Table1[[#This Row],[h_hargasetelahdiskon]]</f>
        <v>200000</v>
      </c>
      <c r="V47" s="234"/>
      <c r="W47" s="234">
        <f ca="1">IF(Table1[[#This Row],[Column12]]="","",IF(Table1[[#This Row],[//]]="",INDIRECT(ADDRESS(ROW()-1,COLUMN())),Table1[[#This Row],[//]]))</f>
        <v>40</v>
      </c>
      <c r="X47" s="234">
        <f ca="1">IF(Table1[[#This Row],[h_id]]="","",COUNTIF(Table1[h_id],Table1[[#This Row],[h_id]]))</f>
        <v>9</v>
      </c>
      <c r="Y47" s="237">
        <f>IF(Table1[[#This Row],[Column12]]="","",Table1[[#This Row],[Qty]]*Table1[[#This Row],[Column13]])</f>
        <v>200000</v>
      </c>
      <c r="Z47" s="440">
        <f>IF(Table1[[#This Row],[h_hargasebelumdiskon]]="","",IF(Table1[[#This Row],[Column14]]="",0,Table1[[#This Row],[h_hargasebelumdiskon]]*Table1[[#This Row],[Column14]]))</f>
        <v>0</v>
      </c>
      <c r="AA47" s="440">
        <f>IF(Table1[[#This Row],[h_hargasebelumdiskon]]="","",IF(Table1[[#This Row],[Column15]]="",0,(Table1[[#This Row],[h_hargasebelumdiskon]]-Table1[[#This Row],[h_disc 1]])*Table1[[#This Row],[Column15]]))</f>
        <v>0</v>
      </c>
      <c r="AB47" s="237">
        <f>IF(Table1[[#This Row],[Column12]]="","",Table1[[#This Row],[h_disc 1]]+Table1[[#This Row],[h_disc 2]])</f>
        <v>0</v>
      </c>
      <c r="AC47" s="237">
        <f>IF(Table1[[#This Row],[Column12]]="","",Table1[[#This Row],[h_hargasebelumdiskon]]-Table1[[#This Row],[h_diskon]])</f>
        <v>200000</v>
      </c>
      <c r="AD47" s="237" t="str">
        <f ca="1">IF(Table1[[#This Row],[//]]="","",SUMIF(Table1[h_id],Table1[[#This Row],[h_id]],Table1[h_hargasetelahdiskon]))</f>
        <v/>
      </c>
      <c r="AF47" s="237" t="str">
        <f>Table1[[#This Row],[Column12]]&amp;Table1[[#This Row],[Unit]]&amp;Table1[[#This Row],[Column13]]</f>
        <v>PENCIL CASE 23 x 8.5 MAGNET 3D FC-5223LSN200000</v>
      </c>
      <c r="AG47"/>
      <c r="AH47"/>
      <c r="AI47"/>
    </row>
    <row r="48" spans="1:35">
      <c r="A48" s="234" t="str">
        <f ca="1">IF(Table1[[#This Row],[No. Invoice :]]="","",ROW())</f>
        <v/>
      </c>
      <c r="B48" s="437" t="str">
        <f ca="1">IF(Table1[[#This Row],[Column3]]="","",B$1+COUNT(INDIRECT("B$2:B"&amp;ROW()-1)))</f>
        <v/>
      </c>
      <c r="C48" s="235" t="str">
        <f>IF(Table1[[#This Row],[Column2]]="","",Table1[[#This Row],[Column2]]+C$1-1)</f>
        <v/>
      </c>
      <c r="D48" s="438"/>
      <c r="E48" s="439"/>
      <c r="F48" s="437"/>
      <c r="G48" s="234" t="str">
        <f ca="1">IF(Table1[[#This Row],[h_No. Invoice :]]="","",CONCATENATE("AM"," ",Table1[[#This Row],[h_No. Invoice :]]))</f>
        <v/>
      </c>
      <c r="H48" s="437" t="str">
        <f>IF(Table1[[#This Row],[Column5]]="","",INDEX(Table2[Column1],MATCH(Table1[[#This Row],[Column5]],Table2[a],0)))</f>
        <v/>
      </c>
      <c r="I48" s="234" t="str">
        <f>IF(Table1[[#This Row],[Column3]]=0,"",CONCATENATE(UPPER(Table1[[#This Row],[Column3]])," ",Table1[[#This Row],[Column4]]))</f>
        <v xml:space="preserve"> </v>
      </c>
      <c r="J48" s="234" t="str">
        <f>IF(Table1[[#This Row],[Column5]]="","",INDEX(Table2[e],IF(Table1[[#This Row],[Column5]]="","",MATCH(Table1[[#This Row],[Column5]],Table2[a],0)),))</f>
        <v/>
      </c>
      <c r="K48" s="234">
        <v>2</v>
      </c>
      <c r="L48" s="234" t="s">
        <v>186</v>
      </c>
      <c r="N48" s="234" t="s">
        <v>267</v>
      </c>
      <c r="O48" s="437" t="e">
        <f>IF(Table1[[#This Row],[h_Item Description]]="","",INDEX([1]!db[NB PAJAK],MATCH(Table1[[#This Row],[h_Item Description]],[1]!db[kode],0)))</f>
        <v>#N/A</v>
      </c>
      <c r="P48" s="234" t="s">
        <v>269</v>
      </c>
      <c r="Q48" s="237">
        <v>62400</v>
      </c>
      <c r="R48" s="238">
        <v>0.1</v>
      </c>
      <c r="S48" s="238"/>
      <c r="T48" s="440">
        <f>Table1[[#This Row],[h_hargasetelahdiskon]]</f>
        <v>112320</v>
      </c>
      <c r="V48" s="234"/>
      <c r="W48" s="234">
        <f ca="1">IF(Table1[[#This Row],[Column12]]="","",IF(Table1[[#This Row],[//]]="",INDIRECT(ADDRESS(ROW()-1,COLUMN())),Table1[[#This Row],[//]]))</f>
        <v>40</v>
      </c>
      <c r="X48" s="234">
        <f ca="1">IF(Table1[[#This Row],[h_id]]="","",COUNTIF(Table1[h_id],Table1[[#This Row],[h_id]]))</f>
        <v>9</v>
      </c>
      <c r="Y48" s="237">
        <f>IF(Table1[[#This Row],[Column12]]="","",Table1[[#This Row],[Qty]]*Table1[[#This Row],[Column13]])</f>
        <v>124800</v>
      </c>
      <c r="Z48" s="440">
        <f>IF(Table1[[#This Row],[h_hargasebelumdiskon]]="","",IF(Table1[[#This Row],[Column14]]="",0,Table1[[#This Row],[h_hargasebelumdiskon]]*Table1[[#This Row],[Column14]]))</f>
        <v>12480</v>
      </c>
      <c r="AA48" s="440">
        <f>IF(Table1[[#This Row],[h_hargasebelumdiskon]]="","",IF(Table1[[#This Row],[Column15]]="",0,(Table1[[#This Row],[h_hargasebelumdiskon]]-Table1[[#This Row],[h_disc 1]])*Table1[[#This Row],[Column15]]))</f>
        <v>0</v>
      </c>
      <c r="AB48" s="237">
        <f>IF(Table1[[#This Row],[Column12]]="","",Table1[[#This Row],[h_disc 1]]+Table1[[#This Row],[h_disc 2]])</f>
        <v>12480</v>
      </c>
      <c r="AC48" s="237">
        <f>IF(Table1[[#This Row],[Column12]]="","",Table1[[#This Row],[h_hargasebelumdiskon]]-Table1[[#This Row],[h_diskon]])</f>
        <v>112320</v>
      </c>
      <c r="AD48" s="237" t="str">
        <f ca="1">IF(Table1[[#This Row],[//]]="","",SUMIF(Table1[h_id],Table1[[#This Row],[h_id]],Table1[h_hargasetelahdiskon]))</f>
        <v/>
      </c>
      <c r="AF48" s="237" t="str">
        <f>Table1[[#This Row],[Column12]]&amp;Table1[[#This Row],[Unit]]&amp;Table1[[#This Row],[Column13]]</f>
        <v>PENCIL CASE KENKO PC-0719-TKLSN62400</v>
      </c>
      <c r="AG48"/>
      <c r="AH48"/>
      <c r="AI48"/>
    </row>
    <row r="49" spans="1:35">
      <c r="A49" s="234" t="str">
        <f ca="1">IF(Table1[[#This Row],[No. Invoice :]]="","",ROW())</f>
        <v/>
      </c>
      <c r="B49" s="437" t="str">
        <f ca="1">IF(Table1[[#This Row],[Column3]]="","",B$1+COUNT(INDIRECT("B$2:B"&amp;ROW()-1)))</f>
        <v/>
      </c>
      <c r="C49" s="235" t="str">
        <f>IF(Table1[[#This Row],[Column2]]="","",Table1[[#This Row],[Column2]]+C$1-1)</f>
        <v/>
      </c>
      <c r="D49" s="438"/>
      <c r="E49" s="439"/>
      <c r="F49" s="437"/>
      <c r="G49" s="234" t="str">
        <f ca="1">IF(Table1[[#This Row],[h_No. Invoice :]]="","",CONCATENATE("AM"," ",Table1[[#This Row],[h_No. Invoice :]]))</f>
        <v/>
      </c>
      <c r="H49" s="437" t="str">
        <f>IF(Table1[[#This Row],[Column5]]="","",INDEX(Table2[Column1],MATCH(Table1[[#This Row],[Column5]],Table2[a],0)))</f>
        <v/>
      </c>
      <c r="I49" s="234" t="str">
        <f>IF(Table1[[#This Row],[Column3]]=0,"",CONCATENATE(UPPER(Table1[[#This Row],[Column3]])," ",Table1[[#This Row],[Column4]]))</f>
        <v xml:space="preserve"> </v>
      </c>
      <c r="J49" s="234" t="str">
        <f>IF(Table1[[#This Row],[Column5]]="","",INDEX(Table2[e],IF(Table1[[#This Row],[Column5]]="","",MATCH(Table1[[#This Row],[Column5]],Table2[a],0)),))</f>
        <v/>
      </c>
      <c r="K49" s="234"/>
      <c r="L49" s="234"/>
      <c r="N49" s="437"/>
      <c r="O49" s="437" t="str">
        <f>IF(Table1[[#This Row],[h_Item Description]]="","",INDEX([1]!db[NB PAJAK],MATCH(Table1[[#This Row],[h_Item Description]],[1]!db[kode],0)))</f>
        <v/>
      </c>
      <c r="Q49" s="237"/>
      <c r="R49" s="238"/>
      <c r="S49" s="238"/>
      <c r="T49" s="440" t="str">
        <f>Table1[[#This Row],[h_hargasetelahdiskon]]</f>
        <v/>
      </c>
      <c r="V49" s="234"/>
      <c r="W49" s="234" t="str">
        <f ca="1">IF(Table1[[#This Row],[Column12]]="","",IF(Table1[[#This Row],[//]]="",INDIRECT(ADDRESS(ROW()-1,COLUMN())),Table1[[#This Row],[//]]))</f>
        <v/>
      </c>
      <c r="X49" s="234" t="str">
        <f ca="1">IF(Table1[[#This Row],[h_id]]="","",COUNTIF(Table1[h_id],Table1[[#This Row],[h_id]]))</f>
        <v/>
      </c>
      <c r="Y49" s="237" t="str">
        <f>IF(Table1[[#This Row],[Column12]]="","",Table1[[#This Row],[Qty]]*Table1[[#This Row],[Column13]])</f>
        <v/>
      </c>
      <c r="Z49" s="440" t="str">
        <f>IF(Table1[[#This Row],[h_hargasebelumdiskon]]="","",IF(Table1[[#This Row],[Column14]]="",0,Table1[[#This Row],[h_hargasebelumdiskon]]*Table1[[#This Row],[Column14]]))</f>
        <v/>
      </c>
      <c r="AA49" s="440" t="str">
        <f>IF(Table1[[#This Row],[h_hargasebelumdiskon]]="","",IF(Table1[[#This Row],[Column15]]="",0,(Table1[[#This Row],[h_hargasebelumdiskon]]-Table1[[#This Row],[h_disc 1]])*Table1[[#This Row],[Column15]]))</f>
        <v/>
      </c>
      <c r="AB49" s="237" t="str">
        <f>IF(Table1[[#This Row],[Column12]]="","",Table1[[#This Row],[h_disc 1]]+Table1[[#This Row],[h_disc 2]])</f>
        <v/>
      </c>
      <c r="AC49" s="237" t="str">
        <f>IF(Table1[[#This Row],[Column12]]="","",Table1[[#This Row],[h_hargasebelumdiskon]]-Table1[[#This Row],[h_diskon]])</f>
        <v/>
      </c>
      <c r="AD49" s="237" t="str">
        <f ca="1">IF(Table1[[#This Row],[//]]="","",SUMIF(Table1[h_id],Table1[[#This Row],[h_id]],Table1[h_hargasetelahdiskon]))</f>
        <v/>
      </c>
      <c r="AF49" s="237" t="str">
        <f>Table1[[#This Row],[Column12]]&amp;Table1[[#This Row],[Unit]]&amp;Table1[[#This Row],[Column13]]</f>
        <v/>
      </c>
      <c r="AG49"/>
      <c r="AH49"/>
      <c r="AI49"/>
    </row>
    <row r="50" spans="1:35">
      <c r="A50" s="234">
        <f ca="1">IF(Table1[[#This Row],[No. Invoice :]]="","",ROW())</f>
        <v>50</v>
      </c>
      <c r="B50" s="437">
        <f ca="1">IF(Table1[[#This Row],[Column3]]="","",B$1+COUNT(INDIRECT("B$2:B"&amp;ROW()-1)))</f>
        <v>24050009</v>
      </c>
      <c r="C50" s="235">
        <f>IF(Table1[[#This Row],[Column2]]="","",Table1[[#This Row],[Column2]]+C$1-1)</f>
        <v>45422</v>
      </c>
      <c r="D50" s="438">
        <v>10</v>
      </c>
      <c r="E50" s="236" t="s">
        <v>278</v>
      </c>
      <c r="F50" s="234" t="s">
        <v>80</v>
      </c>
      <c r="G50" s="234" t="str">
        <f ca="1">IF(Table1[[#This Row],[h_No. Invoice :]]="","",CONCATENATE("AM"," ",Table1[[#This Row],[h_No. Invoice :]]))</f>
        <v>AM 24050009</v>
      </c>
      <c r="H50" s="437" t="str">
        <f>IF(Table1[[#This Row],[Column5]]="","",INDEX(Table2[Column1],MATCH(Table1[[#This Row],[Column5]],Table2[a],0)))</f>
        <v>KO</v>
      </c>
      <c r="I50" s="234" t="str">
        <f>IF(Table1[[#This Row],[Column3]]=0,"",CONCATENATE(UPPER(Table1[[#This Row],[Column3]])," ",Table1[[#This Row],[Column4]]))</f>
        <v>KO 4862</v>
      </c>
      <c r="J50" s="234" t="str">
        <f>IF(Table1[[#This Row],[Column5]]="","",INDEX(Table2[e],IF(Table1[[#This Row],[Column5]]="","",MATCH(Table1[[#This Row],[Column5]],Table2[a],0)),))</f>
        <v>CV PELITA JAYA (ANUGERAH SEJAHTERA) PURWOKERTO</v>
      </c>
      <c r="K50" s="234">
        <v>100</v>
      </c>
      <c r="L50" s="234" t="s">
        <v>135</v>
      </c>
      <c r="M50" s="234">
        <v>2</v>
      </c>
      <c r="N50" s="234" t="s">
        <v>279</v>
      </c>
      <c r="O50" s="437" t="str">
        <f>IF(Table1[[#This Row],[h_Item Description]]="","",INDEX([1]!db[NB PAJAK],MATCH(Table1[[#This Row],[h_Item Description]],[1]!db[kode],0)))</f>
        <v>PAPER TRIGONAL CLIP KENKO NO. 1</v>
      </c>
      <c r="P50" s="234" t="s">
        <v>283</v>
      </c>
      <c r="Q50" s="237">
        <v>17000</v>
      </c>
      <c r="R50" s="238">
        <v>0.13500000000000001</v>
      </c>
      <c r="S50" s="238"/>
      <c r="T50" s="440">
        <f>Table1[[#This Row],[h_hargasetelahdiskon]]</f>
        <v>1470500</v>
      </c>
      <c r="U50" s="237" t="s">
        <v>366</v>
      </c>
      <c r="V50" s="234"/>
      <c r="W50" s="234">
        <f ca="1">IF(Table1[[#This Row],[Column12]]="","",IF(Table1[[#This Row],[//]]="",INDIRECT(ADDRESS(ROW()-1,COLUMN())),Table1[[#This Row],[//]]))</f>
        <v>50</v>
      </c>
      <c r="X50" s="234">
        <f ca="1">IF(Table1[[#This Row],[h_id]]="","",COUNTIF(Table1[h_id],Table1[[#This Row],[h_id]]))</f>
        <v>4</v>
      </c>
      <c r="Y50" s="237">
        <f>IF(Table1[[#This Row],[Column12]]="","",Table1[[#This Row],[Qty]]*Table1[[#This Row],[Column13]])</f>
        <v>1700000</v>
      </c>
      <c r="Z50" s="440">
        <f>IF(Table1[[#This Row],[h_hargasebelumdiskon]]="","",IF(Table1[[#This Row],[Column14]]="",0,Table1[[#This Row],[h_hargasebelumdiskon]]*Table1[[#This Row],[Column14]]))</f>
        <v>229500.00000000003</v>
      </c>
      <c r="AA50" s="440">
        <f>IF(Table1[[#This Row],[h_hargasebelumdiskon]]="","",IF(Table1[[#This Row],[Column15]]="",0,(Table1[[#This Row],[h_hargasebelumdiskon]]-Table1[[#This Row],[h_disc 1]])*Table1[[#This Row],[Column15]]))</f>
        <v>0</v>
      </c>
      <c r="AB50" s="237">
        <f>IF(Table1[[#This Row],[Column12]]="","",Table1[[#This Row],[h_disc 1]]+Table1[[#This Row],[h_disc 2]])</f>
        <v>229500.00000000003</v>
      </c>
      <c r="AC50" s="237">
        <f>IF(Table1[[#This Row],[Column12]]="","",Table1[[#This Row],[h_hargasebelumdiskon]]-Table1[[#This Row],[h_diskon]])</f>
        <v>1470500</v>
      </c>
      <c r="AD50" s="237">
        <f ca="1">IF(Table1[[#This Row],[//]]="","",SUMIF(Table1[h_id],Table1[[#This Row],[h_id]],Table1[h_hargasetelahdiskon]))</f>
        <v>8508140</v>
      </c>
      <c r="AF50" s="237" t="str">
        <f>Table1[[#This Row],[Column12]]&amp;Table1[[#This Row],[Unit]]&amp;Table1[[#This Row],[Column13]]</f>
        <v>PAPER TRIGONAL CLIP KENKO NO. 1PAK17000</v>
      </c>
      <c r="AG50"/>
      <c r="AH50"/>
      <c r="AI50"/>
    </row>
    <row r="51" spans="1:35">
      <c r="A51" s="234" t="str">
        <f ca="1">IF(Table1[[#This Row],[No. Invoice :]]="","",ROW())</f>
        <v/>
      </c>
      <c r="B51" s="437" t="str">
        <f ca="1">IF(Table1[[#This Row],[Column3]]="","",B$1+COUNT(INDIRECT("B$2:B"&amp;ROW()-1)))</f>
        <v/>
      </c>
      <c r="C51" s="235" t="str">
        <f>IF(Table1[[#This Row],[Column2]]="","",Table1[[#This Row],[Column2]]+C$1-1)</f>
        <v/>
      </c>
      <c r="D51" s="438"/>
      <c r="E51" s="439"/>
      <c r="F51" s="437"/>
      <c r="G51" s="234" t="str">
        <f ca="1">IF(Table1[[#This Row],[h_No. Invoice :]]="","",CONCATENATE("AM"," ",Table1[[#This Row],[h_No. Invoice :]]))</f>
        <v/>
      </c>
      <c r="H51" s="437" t="str">
        <f>IF(Table1[[#This Row],[Column5]]="","",INDEX(Table2[Column1],MATCH(Table1[[#This Row],[Column5]],Table2[a],0)))</f>
        <v/>
      </c>
      <c r="I51" s="234" t="str">
        <f>IF(Table1[[#This Row],[Column3]]=0,"",CONCATENATE(UPPER(Table1[[#This Row],[Column3]])," ",Table1[[#This Row],[Column4]]))</f>
        <v xml:space="preserve"> </v>
      </c>
      <c r="J51" s="234" t="str">
        <f>IF(Table1[[#This Row],[Column5]]="","",INDEX(Table2[e],IF(Table1[[#This Row],[Column5]]="","",MATCH(Table1[[#This Row],[Column5]],Table2[a],0)),))</f>
        <v/>
      </c>
      <c r="K51" s="234">
        <v>150</v>
      </c>
      <c r="L51" s="234" t="s">
        <v>135</v>
      </c>
      <c r="M51" s="234">
        <v>3</v>
      </c>
      <c r="N51" s="234" t="s">
        <v>280</v>
      </c>
      <c r="O51" s="437" t="str">
        <f>IF(Table1[[#This Row],[h_Item Description]]="","",INDEX([1]!db[NB PAJAK],MATCH(Table1[[#This Row],[h_Item Description]],[1]!db[kode],0)))</f>
        <v>PAPER TRIGONAL CLIP KENKO NO. 3</v>
      </c>
      <c r="P51" s="234" t="s">
        <v>284</v>
      </c>
      <c r="Q51" s="237">
        <v>16000</v>
      </c>
      <c r="R51" s="238">
        <v>0.13500000000000001</v>
      </c>
      <c r="S51" s="238"/>
      <c r="T51" s="440">
        <f>Table1[[#This Row],[h_hargasetelahdiskon]]</f>
        <v>2076000</v>
      </c>
      <c r="V51" s="234"/>
      <c r="W51" s="234">
        <f ca="1">IF(Table1[[#This Row],[Column12]]="","",IF(Table1[[#This Row],[//]]="",INDIRECT(ADDRESS(ROW()-1,COLUMN())),Table1[[#This Row],[//]]))</f>
        <v>50</v>
      </c>
      <c r="X51" s="234">
        <f ca="1">IF(Table1[[#This Row],[h_id]]="","",COUNTIF(Table1[h_id],Table1[[#This Row],[h_id]]))</f>
        <v>4</v>
      </c>
      <c r="Y51" s="237">
        <f>IF(Table1[[#This Row],[Column12]]="","",Table1[[#This Row],[Qty]]*Table1[[#This Row],[Column13]])</f>
        <v>2400000</v>
      </c>
      <c r="Z51" s="440">
        <f>IF(Table1[[#This Row],[h_hargasebelumdiskon]]="","",IF(Table1[[#This Row],[Column14]]="",0,Table1[[#This Row],[h_hargasebelumdiskon]]*Table1[[#This Row],[Column14]]))</f>
        <v>324000</v>
      </c>
      <c r="AA51" s="440">
        <f>IF(Table1[[#This Row],[h_hargasebelumdiskon]]="","",IF(Table1[[#This Row],[Column15]]="",0,(Table1[[#This Row],[h_hargasebelumdiskon]]-Table1[[#This Row],[h_disc 1]])*Table1[[#This Row],[Column15]]))</f>
        <v>0</v>
      </c>
      <c r="AB51" s="237">
        <f>IF(Table1[[#This Row],[Column12]]="","",Table1[[#This Row],[h_disc 1]]+Table1[[#This Row],[h_disc 2]])</f>
        <v>324000</v>
      </c>
      <c r="AC51" s="237">
        <f>IF(Table1[[#This Row],[Column12]]="","",Table1[[#This Row],[h_hargasebelumdiskon]]-Table1[[#This Row],[h_diskon]])</f>
        <v>2076000</v>
      </c>
      <c r="AD51" s="237" t="str">
        <f ca="1">IF(Table1[[#This Row],[//]]="","",SUMIF(Table1[h_id],Table1[[#This Row],[h_id]],Table1[h_hargasetelahdiskon]))</f>
        <v/>
      </c>
      <c r="AF51" s="237" t="str">
        <f>Table1[[#This Row],[Column12]]&amp;Table1[[#This Row],[Unit]]&amp;Table1[[#This Row],[Column13]]</f>
        <v>PAPER TRIGONAL CLIP KENKO NO. 3PAK16000</v>
      </c>
      <c r="AG51"/>
      <c r="AH51"/>
      <c r="AI51"/>
    </row>
    <row r="52" spans="1:35">
      <c r="A52" s="234" t="str">
        <f ca="1">IF(Table1[[#This Row],[No. Invoice :]]="","",ROW())</f>
        <v/>
      </c>
      <c r="B52" s="437" t="str">
        <f ca="1">IF(Table1[[#This Row],[Column3]]="","",B$1+COUNT(INDIRECT("B$2:B"&amp;ROW()-1)))</f>
        <v/>
      </c>
      <c r="C52" s="235" t="str">
        <f>IF(Table1[[#This Row],[Column2]]="","",Table1[[#This Row],[Column2]]+C$1-1)</f>
        <v/>
      </c>
      <c r="D52" s="438"/>
      <c r="E52" s="439"/>
      <c r="F52" s="437"/>
      <c r="G52" s="234" t="str">
        <f ca="1">IF(Table1[[#This Row],[h_No. Invoice :]]="","",CONCATENATE("AM"," ",Table1[[#This Row],[h_No. Invoice :]]))</f>
        <v/>
      </c>
      <c r="H52" s="437" t="str">
        <f>IF(Table1[[#This Row],[Column5]]="","",INDEX(Table2[Column1],MATCH(Table1[[#This Row],[Column5]],Table2[a],0)))</f>
        <v/>
      </c>
      <c r="I52" s="234" t="str">
        <f>IF(Table1[[#This Row],[Column3]]=0,"",CONCATENATE(UPPER(Table1[[#This Row],[Column3]])," ",Table1[[#This Row],[Column4]]))</f>
        <v xml:space="preserve"> </v>
      </c>
      <c r="J52" s="234" t="str">
        <f>IF(Table1[[#This Row],[Column5]]="","",INDEX(Table2[e],IF(Table1[[#This Row],[Column5]]="","",MATCH(Table1[[#This Row],[Column5]],Table2[a],0)),))</f>
        <v/>
      </c>
      <c r="K52" s="234">
        <v>48</v>
      </c>
      <c r="L52" s="234" t="s">
        <v>197</v>
      </c>
      <c r="M52" s="234">
        <v>2</v>
      </c>
      <c r="N52" s="234" t="s">
        <v>281</v>
      </c>
      <c r="O52" s="437" t="str">
        <f>IF(Table1[[#This Row],[h_Item Description]]="","",INDEX([1]!db[NB PAJAK],MATCH(Table1[[#This Row],[h_Item Description]],[1]!db[kode],0)))</f>
        <v>PUNCH KENKO NO. 85</v>
      </c>
      <c r="P52" s="234" t="s">
        <v>286</v>
      </c>
      <c r="Q52" s="237">
        <v>48500</v>
      </c>
      <c r="R52" s="238">
        <v>0.13500000000000001</v>
      </c>
      <c r="S52" s="238"/>
      <c r="T52" s="440">
        <f>Table1[[#This Row],[h_hargasetelahdiskon]]</f>
        <v>2013720</v>
      </c>
      <c r="V52" s="234"/>
      <c r="W52" s="234">
        <f ca="1">IF(Table1[[#This Row],[Column12]]="","",IF(Table1[[#This Row],[//]]="",INDIRECT(ADDRESS(ROW()-1,COLUMN())),Table1[[#This Row],[//]]))</f>
        <v>50</v>
      </c>
      <c r="X52" s="234">
        <f ca="1">IF(Table1[[#This Row],[h_id]]="","",COUNTIF(Table1[h_id],Table1[[#This Row],[h_id]]))</f>
        <v>4</v>
      </c>
      <c r="Y52" s="237">
        <f>IF(Table1[[#This Row],[Column12]]="","",Table1[[#This Row],[Qty]]*Table1[[#This Row],[Column13]])</f>
        <v>2328000</v>
      </c>
      <c r="Z52" s="440">
        <f>IF(Table1[[#This Row],[h_hargasebelumdiskon]]="","",IF(Table1[[#This Row],[Column14]]="",0,Table1[[#This Row],[h_hargasebelumdiskon]]*Table1[[#This Row],[Column14]]))</f>
        <v>314280</v>
      </c>
      <c r="AA52" s="440">
        <f>IF(Table1[[#This Row],[h_hargasebelumdiskon]]="","",IF(Table1[[#This Row],[Column15]]="",0,(Table1[[#This Row],[h_hargasebelumdiskon]]-Table1[[#This Row],[h_disc 1]])*Table1[[#This Row],[Column15]]))</f>
        <v>0</v>
      </c>
      <c r="AB52" s="237">
        <f>IF(Table1[[#This Row],[Column12]]="","",Table1[[#This Row],[h_disc 1]]+Table1[[#This Row],[h_disc 2]])</f>
        <v>314280</v>
      </c>
      <c r="AC52" s="237">
        <f>IF(Table1[[#This Row],[Column12]]="","",Table1[[#This Row],[h_hargasebelumdiskon]]-Table1[[#This Row],[h_diskon]])</f>
        <v>2013720</v>
      </c>
      <c r="AD52" s="237" t="str">
        <f ca="1">IF(Table1[[#This Row],[//]]="","",SUMIF(Table1[h_id],Table1[[#This Row],[h_id]],Table1[h_hargasetelahdiskon]))</f>
        <v/>
      </c>
      <c r="AF52" s="237" t="str">
        <f>Table1[[#This Row],[Column12]]&amp;Table1[[#This Row],[Unit]]&amp;Table1[[#This Row],[Column13]]</f>
        <v>PUNCH KENKO NO. 85PCS48500</v>
      </c>
      <c r="AG52"/>
      <c r="AH52"/>
      <c r="AI52"/>
    </row>
    <row r="53" spans="1:35">
      <c r="A53" s="234" t="str">
        <f ca="1">IF(Table1[[#This Row],[No. Invoice :]]="","",ROW())</f>
        <v/>
      </c>
      <c r="B53" s="437" t="str">
        <f ca="1">IF(Table1[[#This Row],[Column3]]="","",B$1+COUNT(INDIRECT("B$2:B"&amp;ROW()-1)))</f>
        <v/>
      </c>
      <c r="C53" s="235" t="str">
        <f>IF(Table1[[#This Row],[Column2]]="","",Table1[[#This Row],[Column2]]+C$1-1)</f>
        <v/>
      </c>
      <c r="D53" s="438"/>
      <c r="E53" s="439"/>
      <c r="F53" s="437"/>
      <c r="G53" s="234" t="str">
        <f ca="1">IF(Table1[[#This Row],[h_No. Invoice :]]="","",CONCATENATE("AM"," ",Table1[[#This Row],[h_No. Invoice :]]))</f>
        <v/>
      </c>
      <c r="H53" s="437" t="str">
        <f>IF(Table1[[#This Row],[Column5]]="","",INDEX(Table2[Column1],MATCH(Table1[[#This Row],[Column5]],Table2[a],0)))</f>
        <v/>
      </c>
      <c r="I53" s="234" t="str">
        <f>IF(Table1[[#This Row],[Column3]]=0,"",CONCATENATE(UPPER(Table1[[#This Row],[Column3]])," ",Table1[[#This Row],[Column4]]))</f>
        <v xml:space="preserve"> </v>
      </c>
      <c r="J53" s="234" t="str">
        <f>IF(Table1[[#This Row],[Column5]]="","",INDEX(Table2[e],IF(Table1[[#This Row],[Column5]]="","",MATCH(Table1[[#This Row],[Column5]],Table2[a],0)),))</f>
        <v/>
      </c>
      <c r="K53" s="234">
        <v>40</v>
      </c>
      <c r="L53" s="234" t="s">
        <v>186</v>
      </c>
      <c r="M53" s="234">
        <v>2</v>
      </c>
      <c r="N53" s="234" t="s">
        <v>282</v>
      </c>
      <c r="O53" s="437" t="str">
        <f>IF(Table1[[#This Row],[h_Item Description]]="","",INDEX([1]!db[NB PAJAK],MATCH(Table1[[#This Row],[h_Item Description]],[1]!db[kode],0)))</f>
        <v>STAPLER KENKO HD-10</v>
      </c>
      <c r="P53" s="234" t="s">
        <v>285</v>
      </c>
      <c r="Q53" s="237">
        <v>85200</v>
      </c>
      <c r="R53" s="238">
        <v>0.13500000000000001</v>
      </c>
      <c r="S53" s="238"/>
      <c r="T53" s="440">
        <f>Table1[[#This Row],[h_hargasetelahdiskon]]</f>
        <v>2947920</v>
      </c>
      <c r="V53" s="234"/>
      <c r="W53" s="234">
        <f ca="1">IF(Table1[[#This Row],[Column12]]="","",IF(Table1[[#This Row],[//]]="",INDIRECT(ADDRESS(ROW()-1,COLUMN())),Table1[[#This Row],[//]]))</f>
        <v>50</v>
      </c>
      <c r="X53" s="234">
        <f ca="1">IF(Table1[[#This Row],[h_id]]="","",COUNTIF(Table1[h_id],Table1[[#This Row],[h_id]]))</f>
        <v>4</v>
      </c>
      <c r="Y53" s="237">
        <f>IF(Table1[[#This Row],[Column12]]="","",Table1[[#This Row],[Qty]]*Table1[[#This Row],[Column13]])</f>
        <v>3408000</v>
      </c>
      <c r="Z53" s="440">
        <f>IF(Table1[[#This Row],[h_hargasebelumdiskon]]="","",IF(Table1[[#This Row],[Column14]]="",0,Table1[[#This Row],[h_hargasebelumdiskon]]*Table1[[#This Row],[Column14]]))</f>
        <v>460080.00000000006</v>
      </c>
      <c r="AA53" s="440">
        <f>IF(Table1[[#This Row],[h_hargasebelumdiskon]]="","",IF(Table1[[#This Row],[Column15]]="",0,(Table1[[#This Row],[h_hargasebelumdiskon]]-Table1[[#This Row],[h_disc 1]])*Table1[[#This Row],[Column15]]))</f>
        <v>0</v>
      </c>
      <c r="AB53" s="237">
        <f>IF(Table1[[#This Row],[Column12]]="","",Table1[[#This Row],[h_disc 1]]+Table1[[#This Row],[h_disc 2]])</f>
        <v>460080.00000000006</v>
      </c>
      <c r="AC53" s="237">
        <f>IF(Table1[[#This Row],[Column12]]="","",Table1[[#This Row],[h_hargasebelumdiskon]]-Table1[[#This Row],[h_diskon]])</f>
        <v>2947920</v>
      </c>
      <c r="AD53" s="237" t="str">
        <f ca="1">IF(Table1[[#This Row],[//]]="","",SUMIF(Table1[h_id],Table1[[#This Row],[h_id]],Table1[h_hargasetelahdiskon]))</f>
        <v/>
      </c>
      <c r="AF53" s="237" t="str">
        <f>Table1[[#This Row],[Column12]]&amp;Table1[[#This Row],[Unit]]&amp;Table1[[#This Row],[Column13]]</f>
        <v>STAPLER KENKO HD-10LSN85200</v>
      </c>
      <c r="AG53"/>
      <c r="AH53"/>
      <c r="AI53"/>
    </row>
    <row r="54" spans="1:35">
      <c r="A54" s="234" t="str">
        <f ca="1">IF(Table1[[#This Row],[No. Invoice :]]="","",ROW())</f>
        <v/>
      </c>
      <c r="B54" s="437" t="str">
        <f ca="1">IF(Table1[[#This Row],[Column3]]="","",B$1+COUNT(INDIRECT("B$2:B"&amp;ROW()-1)))</f>
        <v/>
      </c>
      <c r="C54" s="235" t="str">
        <f>IF(Table1[[#This Row],[Column2]]="","",Table1[[#This Row],[Column2]]+C$1-1)</f>
        <v/>
      </c>
      <c r="D54" s="438"/>
      <c r="E54" s="439"/>
      <c r="F54" s="437"/>
      <c r="G54" s="234" t="str">
        <f ca="1">IF(Table1[[#This Row],[h_No. Invoice :]]="","",CONCATENATE("AM"," ",Table1[[#This Row],[h_No. Invoice :]]))</f>
        <v/>
      </c>
      <c r="H54" s="437" t="str">
        <f>IF(Table1[[#This Row],[Column5]]="","",INDEX(Table2[Column1],MATCH(Table1[[#This Row],[Column5]],Table2[a],0)))</f>
        <v/>
      </c>
      <c r="I54" s="234" t="str">
        <f>IF(Table1[[#This Row],[Column3]]=0,"",CONCATENATE(UPPER(Table1[[#This Row],[Column3]])," ",Table1[[#This Row],[Column4]]))</f>
        <v xml:space="preserve"> </v>
      </c>
      <c r="J54" s="234" t="str">
        <f>IF(Table1[[#This Row],[Column5]]="","",INDEX(Table2[e],IF(Table1[[#This Row],[Column5]]="","",MATCH(Table1[[#This Row],[Column5]],Table2[a],0)),))</f>
        <v/>
      </c>
      <c r="K54" s="234"/>
      <c r="L54" s="234"/>
      <c r="N54" s="437"/>
      <c r="O54" s="437" t="str">
        <f>IF(Table1[[#This Row],[h_Item Description]]="","",INDEX([1]!db[NB PAJAK],MATCH(Table1[[#This Row],[h_Item Description]],[1]!db[kode],0)))</f>
        <v/>
      </c>
      <c r="Q54" s="237"/>
      <c r="R54" s="238"/>
      <c r="S54" s="238"/>
      <c r="T54" s="440" t="str">
        <f>Table1[[#This Row],[h_hargasetelahdiskon]]</f>
        <v/>
      </c>
      <c r="V54" s="234"/>
      <c r="W54" s="234" t="str">
        <f ca="1">IF(Table1[[#This Row],[Column12]]="","",IF(Table1[[#This Row],[//]]="",INDIRECT(ADDRESS(ROW()-1,COLUMN())),Table1[[#This Row],[//]]))</f>
        <v/>
      </c>
      <c r="X54" s="234" t="str">
        <f ca="1">IF(Table1[[#This Row],[h_id]]="","",COUNTIF(Table1[h_id],Table1[[#This Row],[h_id]]))</f>
        <v/>
      </c>
      <c r="Y54" s="237" t="str">
        <f>IF(Table1[[#This Row],[Column12]]="","",Table1[[#This Row],[Qty]]*Table1[[#This Row],[Column13]])</f>
        <v/>
      </c>
      <c r="Z54" s="440" t="str">
        <f>IF(Table1[[#This Row],[h_hargasebelumdiskon]]="","",IF(Table1[[#This Row],[Column14]]="",0,Table1[[#This Row],[h_hargasebelumdiskon]]*Table1[[#This Row],[Column14]]))</f>
        <v/>
      </c>
      <c r="AA54" s="440" t="str">
        <f>IF(Table1[[#This Row],[h_hargasebelumdiskon]]="","",IF(Table1[[#This Row],[Column15]]="",0,(Table1[[#This Row],[h_hargasebelumdiskon]]-Table1[[#This Row],[h_disc 1]])*Table1[[#This Row],[Column15]]))</f>
        <v/>
      </c>
      <c r="AB54" s="237" t="str">
        <f>IF(Table1[[#This Row],[Column12]]="","",Table1[[#This Row],[h_disc 1]]+Table1[[#This Row],[h_disc 2]])</f>
        <v/>
      </c>
      <c r="AC54" s="237" t="str">
        <f>IF(Table1[[#This Row],[Column12]]="","",Table1[[#This Row],[h_hargasebelumdiskon]]-Table1[[#This Row],[h_diskon]])</f>
        <v/>
      </c>
      <c r="AD54" s="237" t="str">
        <f ca="1">IF(Table1[[#This Row],[//]]="","",SUMIF(Table1[h_id],Table1[[#This Row],[h_id]],Table1[h_hargasetelahdiskon]))</f>
        <v/>
      </c>
      <c r="AF54" s="237" t="str">
        <f>Table1[[#This Row],[Column12]]&amp;Table1[[#This Row],[Unit]]&amp;Table1[[#This Row],[Column13]]</f>
        <v/>
      </c>
      <c r="AG54"/>
      <c r="AH54"/>
      <c r="AI54"/>
    </row>
    <row r="55" spans="1:35">
      <c r="A55" s="234">
        <f ca="1">IF(Table1[[#This Row],[No. Invoice :]]="","",ROW())</f>
        <v>55</v>
      </c>
      <c r="B55" s="437">
        <f ca="1">IF(Table1[[#This Row],[Column3]]="","",B$1+COUNT(INDIRECT("B$2:B"&amp;ROW()-1)))</f>
        <v>24050010</v>
      </c>
      <c r="C55" s="235">
        <f>IF(Table1[[#This Row],[Column2]]="","",Table1[[#This Row],[Column2]]+C$1-1)</f>
        <v>45423</v>
      </c>
      <c r="D55" s="438">
        <v>11</v>
      </c>
      <c r="E55" s="236" t="s">
        <v>287</v>
      </c>
      <c r="F55" s="234" t="s">
        <v>66</v>
      </c>
      <c r="G55" s="234" t="str">
        <f ca="1">IF(Table1[[#This Row],[h_No. Invoice :]]="","",CONCATENATE("AM"," ",Table1[[#This Row],[h_No. Invoice :]]))</f>
        <v>AM 24050010</v>
      </c>
      <c r="H55" s="437" t="str">
        <f>IF(Table1[[#This Row],[Column5]]="","",INDEX(Table2[Column1],MATCH(Table1[[#This Row],[Column5]],Table2[a],0)))</f>
        <v>KO</v>
      </c>
      <c r="I55" s="234" t="str">
        <f>IF(Table1[[#This Row],[Column3]]=0,"",CONCATENATE(UPPER(Table1[[#This Row],[Column3]])," ",Table1[[#This Row],[Column4]]))</f>
        <v>KO 4738</v>
      </c>
      <c r="J55" s="234" t="str">
        <f>IF(Table1[[#This Row],[Column5]]="","",INDEX(Table2[e],IF(Table1[[#This Row],[Column5]]="","",MATCH(Table1[[#This Row],[Column5]],Table2[a],0)),))</f>
        <v>HARNOYO (BENDAN) PEKALONGAN</v>
      </c>
      <c r="K55" s="234">
        <v>5</v>
      </c>
      <c r="L55" s="234" t="s">
        <v>195</v>
      </c>
      <c r="N55" s="234" t="s">
        <v>288</v>
      </c>
      <c r="O55" s="437" t="str">
        <f>IF(Table1[[#This Row],[h_Item Description]]="","",INDEX([1]!db[NB PAJAK],MATCH(Table1[[#This Row],[h_Item Description]],[1]!db[kode],0)))</f>
        <v>BINDER CLIP KENKO NO. 260</v>
      </c>
      <c r="P55" s="234" t="s">
        <v>188</v>
      </c>
      <c r="Q55" s="237">
        <v>180000</v>
      </c>
      <c r="R55" s="238">
        <v>0.14000000000000001</v>
      </c>
      <c r="S55" s="238"/>
      <c r="T55" s="440">
        <f>Table1[[#This Row],[h_hargasetelahdiskon]]</f>
        <v>774000</v>
      </c>
      <c r="U55" s="237" t="s">
        <v>129</v>
      </c>
      <c r="V55" s="234"/>
      <c r="W55" s="234">
        <f ca="1">IF(Table1[[#This Row],[Column12]]="","",IF(Table1[[#This Row],[//]]="",INDIRECT(ADDRESS(ROW()-1,COLUMN())),Table1[[#This Row],[//]]))</f>
        <v>55</v>
      </c>
      <c r="X55" s="234">
        <f ca="1">IF(Table1[[#This Row],[h_id]]="","",COUNTIF(Table1[h_id],Table1[[#This Row],[h_id]]))</f>
        <v>7</v>
      </c>
      <c r="Y55" s="237">
        <f>IF(Table1[[#This Row],[Column12]]="","",Table1[[#This Row],[Qty]]*Table1[[#This Row],[Column13]])</f>
        <v>900000</v>
      </c>
      <c r="Z55" s="440">
        <f>IF(Table1[[#This Row],[h_hargasebelumdiskon]]="","",IF(Table1[[#This Row],[Column14]]="",0,Table1[[#This Row],[h_hargasebelumdiskon]]*Table1[[#This Row],[Column14]]))</f>
        <v>126000.00000000001</v>
      </c>
      <c r="AA55" s="440">
        <f>IF(Table1[[#This Row],[h_hargasebelumdiskon]]="","",IF(Table1[[#This Row],[Column15]]="",0,(Table1[[#This Row],[h_hargasebelumdiskon]]-Table1[[#This Row],[h_disc 1]])*Table1[[#This Row],[Column15]]))</f>
        <v>0</v>
      </c>
      <c r="AB55" s="237">
        <f>IF(Table1[[#This Row],[Column12]]="","",Table1[[#This Row],[h_disc 1]]+Table1[[#This Row],[h_disc 2]])</f>
        <v>126000.00000000001</v>
      </c>
      <c r="AC55" s="237">
        <f>IF(Table1[[#This Row],[Column12]]="","",Table1[[#This Row],[h_hargasebelumdiskon]]-Table1[[#This Row],[h_diskon]])</f>
        <v>774000</v>
      </c>
      <c r="AD55" s="237">
        <f ca="1">IF(Table1[[#This Row],[//]]="","",SUMIF(Table1[h_id],Table1[[#This Row],[h_id]],Table1[h_hargasetelahdiskon]))</f>
        <v>11687400</v>
      </c>
      <c r="AF55" s="237" t="str">
        <f>Table1[[#This Row],[Column12]]&amp;Table1[[#This Row],[Unit]]&amp;Table1[[#This Row],[Column13]]</f>
        <v>BINDER CLIP KENKO NO. 260GRS180000</v>
      </c>
      <c r="AG55"/>
      <c r="AH55"/>
      <c r="AI55"/>
    </row>
    <row r="56" spans="1:35">
      <c r="A56" s="234" t="str">
        <f ca="1">IF(Table1[[#This Row],[No. Invoice :]]="","",ROW())</f>
        <v/>
      </c>
      <c r="B56" s="445" t="str">
        <f ca="1">IF(Table1[[#This Row],[Column3]]="","",B$1+COUNT(INDIRECT("B$2:B"&amp;ROW()-1)))</f>
        <v/>
      </c>
      <c r="C56" s="235" t="str">
        <f>IF(Table1[[#This Row],[Column2]]="","",Table1[[#This Row],[Column2]]+C$1-1)</f>
        <v/>
      </c>
      <c r="D56" s="446"/>
      <c r="E56" s="447"/>
      <c r="F56" s="445"/>
      <c r="G56" s="234" t="str">
        <f ca="1">IF(Table1[[#This Row],[h_No. Invoice :]]="","",CONCATENATE("AM"," ",Table1[[#This Row],[h_No. Invoice :]]))</f>
        <v/>
      </c>
      <c r="H56" s="445" t="str">
        <f>IF(Table1[[#This Row],[Column5]]="","",INDEX(Table2[Column1],MATCH(Table1[[#This Row],[Column5]],Table2[a],0)))</f>
        <v/>
      </c>
      <c r="I56" s="234" t="str">
        <f>IF(Table1[[#This Row],[Column3]]=0,"",CONCATENATE(UPPER(Table1[[#This Row],[Column3]])," ",Table1[[#This Row],[Column4]]))</f>
        <v xml:space="preserve"> </v>
      </c>
      <c r="J56" s="234" t="str">
        <f>IF(Table1[[#This Row],[Column5]]="","",INDEX(Table2[e],IF(Table1[[#This Row],[Column5]]="","",MATCH(Table1[[#This Row],[Column5]],Table2[a],0)),))</f>
        <v/>
      </c>
      <c r="K56" s="234">
        <v>20</v>
      </c>
      <c r="L56" s="234" t="s">
        <v>195</v>
      </c>
      <c r="M56" s="234">
        <v>1</v>
      </c>
      <c r="N56" s="445" t="s">
        <v>367</v>
      </c>
      <c r="O56" s="445" t="str">
        <f>IF(Table1[[#This Row],[h_Item Description]]="","",INDEX([1]!db[NB PAJAK],MATCH(Table1[[#This Row],[h_Item Description]],[1]!db[kode],0)))</f>
        <v>BINDER CLIP KENKO NO. 155</v>
      </c>
      <c r="P56" s="234" t="s">
        <v>189</v>
      </c>
      <c r="Q56" s="237">
        <v>69000</v>
      </c>
      <c r="R56" s="238">
        <v>0.14000000000000001</v>
      </c>
      <c r="S56" s="238"/>
      <c r="T56" s="448">
        <f>Table1[[#This Row],[h_hargasetelahdiskon]]</f>
        <v>1186800</v>
      </c>
      <c r="V56" s="234"/>
      <c r="W56" s="234">
        <f ca="1">IF(Table1[[#This Row],[Column12]]="","",IF(Table1[[#This Row],[//]]="",INDIRECT(ADDRESS(ROW()-1,COLUMN())),Table1[[#This Row],[//]]))</f>
        <v>55</v>
      </c>
      <c r="X56" s="234">
        <f ca="1">IF(Table1[[#This Row],[h_id]]="","",COUNTIF(Table1[h_id],Table1[[#This Row],[h_id]]))</f>
        <v>7</v>
      </c>
      <c r="Y56" s="237">
        <f>IF(Table1[[#This Row],[Column12]]="","",Table1[[#This Row],[Qty]]*Table1[[#This Row],[Column13]])</f>
        <v>1380000</v>
      </c>
      <c r="Z56" s="448">
        <f>IF(Table1[[#This Row],[h_hargasebelumdiskon]]="","",IF(Table1[[#This Row],[Column14]]="",0,Table1[[#This Row],[h_hargasebelumdiskon]]*Table1[[#This Row],[Column14]]))</f>
        <v>193200.00000000003</v>
      </c>
      <c r="AA56" s="448">
        <f>IF(Table1[[#This Row],[h_hargasebelumdiskon]]="","",IF(Table1[[#This Row],[Column15]]="",0,(Table1[[#This Row],[h_hargasebelumdiskon]]-Table1[[#This Row],[h_disc 1]])*Table1[[#This Row],[Column15]]))</f>
        <v>0</v>
      </c>
      <c r="AB56" s="237">
        <f>IF(Table1[[#This Row],[Column12]]="","",Table1[[#This Row],[h_disc 1]]+Table1[[#This Row],[h_disc 2]])</f>
        <v>193200.00000000003</v>
      </c>
      <c r="AC56" s="237">
        <f>IF(Table1[[#This Row],[Column12]]="","",Table1[[#This Row],[h_hargasebelumdiskon]]-Table1[[#This Row],[h_diskon]])</f>
        <v>1186800</v>
      </c>
      <c r="AD56" s="237" t="str">
        <f ca="1">IF(Table1[[#This Row],[//]]="","",SUMIF(Table1[h_id],Table1[[#This Row],[h_id]],Table1[h_hargasetelahdiskon]))</f>
        <v/>
      </c>
      <c r="AF56" s="237" t="str">
        <f>Table1[[#This Row],[Column12]]&amp;Table1[[#This Row],[Unit]]&amp;Table1[[#This Row],[Column13]]</f>
        <v>BINDER CLIP KENKO NO. 155GRS69000</v>
      </c>
      <c r="AG56"/>
      <c r="AH56"/>
      <c r="AI56"/>
    </row>
    <row r="57" spans="1:35">
      <c r="A57" s="234" t="str">
        <f ca="1">IF(Table1[[#This Row],[No. Invoice :]]="","",ROW())</f>
        <v/>
      </c>
      <c r="B57" s="445" t="str">
        <f ca="1">IF(Table1[[#This Row],[Column3]]="","",B$1+COUNT(INDIRECT("B$2:B"&amp;ROW()-1)))</f>
        <v/>
      </c>
      <c r="C57" s="235" t="str">
        <f>IF(Table1[[#This Row],[Column2]]="","",Table1[[#This Row],[Column2]]+C$1-1)</f>
        <v/>
      </c>
      <c r="D57" s="446"/>
      <c r="E57" s="447"/>
      <c r="F57" s="445"/>
      <c r="G57" s="234" t="str">
        <f ca="1">IF(Table1[[#This Row],[h_No. Invoice :]]="","",CONCATENATE("AM"," ",Table1[[#This Row],[h_No. Invoice :]]))</f>
        <v/>
      </c>
      <c r="H57" s="445" t="str">
        <f>IF(Table1[[#This Row],[Column5]]="","",INDEX(Table2[Column1],MATCH(Table1[[#This Row],[Column5]],Table2[a],0)))</f>
        <v/>
      </c>
      <c r="I57" s="234" t="str">
        <f>IF(Table1[[#This Row],[Column3]]=0,"",CONCATENATE(UPPER(Table1[[#This Row],[Column3]])," ",Table1[[#This Row],[Column4]]))</f>
        <v xml:space="preserve"> </v>
      </c>
      <c r="J57" s="234" t="str">
        <f>IF(Table1[[#This Row],[Column5]]="","",INDEX(Table2[e],IF(Table1[[#This Row],[Column5]]="","",MATCH(Table1[[#This Row],[Column5]],Table2[a],0)),))</f>
        <v/>
      </c>
      <c r="K57" s="234">
        <v>288</v>
      </c>
      <c r="L57" s="234" t="s">
        <v>197</v>
      </c>
      <c r="M57" s="234">
        <v>2</v>
      </c>
      <c r="N57" s="445" t="s">
        <v>368</v>
      </c>
      <c r="O57" s="445" t="str">
        <f>IF(Table1[[#This Row],[h_Item Description]]="","",INDEX([1]!db[NB PAJAK],MATCH(Table1[[#This Row],[h_Item Description]],[1]!db[kode],0)))</f>
        <v>CRAYON / OIL PASTEL TITI TI-P-12S</v>
      </c>
      <c r="P57" s="234" t="s">
        <v>377</v>
      </c>
      <c r="Q57" s="237">
        <v>14500</v>
      </c>
      <c r="R57" s="238">
        <v>0.14000000000000001</v>
      </c>
      <c r="S57" s="238"/>
      <c r="T57" s="448">
        <f>Table1[[#This Row],[h_hargasetelahdiskon]]</f>
        <v>3591360</v>
      </c>
      <c r="V57" s="234"/>
      <c r="W57" s="234">
        <f ca="1">IF(Table1[[#This Row],[Column12]]="","",IF(Table1[[#This Row],[//]]="",INDIRECT(ADDRESS(ROW()-1,COLUMN())),Table1[[#This Row],[//]]))</f>
        <v>55</v>
      </c>
      <c r="X57" s="234">
        <f ca="1">IF(Table1[[#This Row],[h_id]]="","",COUNTIF(Table1[h_id],Table1[[#This Row],[h_id]]))</f>
        <v>7</v>
      </c>
      <c r="Y57" s="237">
        <f>IF(Table1[[#This Row],[Column12]]="","",Table1[[#This Row],[Qty]]*Table1[[#This Row],[Column13]])</f>
        <v>4176000</v>
      </c>
      <c r="Z57" s="448">
        <f>IF(Table1[[#This Row],[h_hargasebelumdiskon]]="","",IF(Table1[[#This Row],[Column14]]="",0,Table1[[#This Row],[h_hargasebelumdiskon]]*Table1[[#This Row],[Column14]]))</f>
        <v>584640</v>
      </c>
      <c r="AA57" s="448">
        <f>IF(Table1[[#This Row],[h_hargasebelumdiskon]]="","",IF(Table1[[#This Row],[Column15]]="",0,(Table1[[#This Row],[h_hargasebelumdiskon]]-Table1[[#This Row],[h_disc 1]])*Table1[[#This Row],[Column15]]))</f>
        <v>0</v>
      </c>
      <c r="AB57" s="237">
        <f>IF(Table1[[#This Row],[Column12]]="","",Table1[[#This Row],[h_disc 1]]+Table1[[#This Row],[h_disc 2]])</f>
        <v>584640</v>
      </c>
      <c r="AC57" s="237">
        <f>IF(Table1[[#This Row],[Column12]]="","",Table1[[#This Row],[h_hargasebelumdiskon]]-Table1[[#This Row],[h_diskon]])</f>
        <v>3591360</v>
      </c>
      <c r="AD57" s="237" t="str">
        <f ca="1">IF(Table1[[#This Row],[//]]="","",SUMIF(Table1[h_id],Table1[[#This Row],[h_id]],Table1[h_hargasetelahdiskon]))</f>
        <v/>
      </c>
      <c r="AF57" s="237" t="str">
        <f>Table1[[#This Row],[Column12]]&amp;Table1[[#This Row],[Unit]]&amp;Table1[[#This Row],[Column13]]</f>
        <v>CRAYON / OIL PASTEL TITI TI-P-12SPCS14500</v>
      </c>
      <c r="AG57"/>
      <c r="AH57"/>
      <c r="AI57"/>
    </row>
    <row r="58" spans="1:35">
      <c r="A58" s="234" t="str">
        <f ca="1">IF(Table1[[#This Row],[No. Invoice :]]="","",ROW())</f>
        <v/>
      </c>
      <c r="B58" s="445" t="str">
        <f ca="1">IF(Table1[[#This Row],[Column3]]="","",B$1+COUNT(INDIRECT("B$2:B"&amp;ROW()-1)))</f>
        <v/>
      </c>
      <c r="C58" s="235" t="str">
        <f>IF(Table1[[#This Row],[Column2]]="","",Table1[[#This Row],[Column2]]+C$1-1)</f>
        <v/>
      </c>
      <c r="D58" s="446"/>
      <c r="E58" s="447"/>
      <c r="F58" s="445"/>
      <c r="G58" s="234" t="str">
        <f ca="1">IF(Table1[[#This Row],[h_No. Invoice :]]="","",CONCATENATE("AM"," ",Table1[[#This Row],[h_No. Invoice :]]))</f>
        <v/>
      </c>
      <c r="H58" s="445" t="str">
        <f>IF(Table1[[#This Row],[Column5]]="","",INDEX(Table2[Column1],MATCH(Table1[[#This Row],[Column5]],Table2[a],0)))</f>
        <v/>
      </c>
      <c r="I58" s="234" t="str">
        <f>IF(Table1[[#This Row],[Column3]]=0,"",CONCATENATE(UPPER(Table1[[#This Row],[Column3]])," ",Table1[[#This Row],[Column4]]))</f>
        <v xml:space="preserve"> </v>
      </c>
      <c r="J58" s="234" t="str">
        <f>IF(Table1[[#This Row],[Column5]]="","",INDEX(Table2[e],IF(Table1[[#This Row],[Column5]]="","",MATCH(Table1[[#This Row],[Column5]],Table2[a],0)),))</f>
        <v/>
      </c>
      <c r="K58" s="234">
        <v>72</v>
      </c>
      <c r="L58" s="234" t="s">
        <v>197</v>
      </c>
      <c r="M58" s="234">
        <v>1</v>
      </c>
      <c r="N58" s="445" t="s">
        <v>369</v>
      </c>
      <c r="O58" s="445" t="str">
        <f>IF(Table1[[#This Row],[h_Item Description]]="","",INDEX([1]!db[NB PAJAK],MATCH(Table1[[#This Row],[h_Item Description]],[1]!db[kode],0)))</f>
        <v>CRAYON / OIL PASTEL TITI TI-P-18S</v>
      </c>
      <c r="P58" s="234" t="s">
        <v>373</v>
      </c>
      <c r="Q58" s="237">
        <v>27000</v>
      </c>
      <c r="R58" s="238">
        <v>0.14000000000000001</v>
      </c>
      <c r="S58" s="238"/>
      <c r="T58" s="448">
        <f>Table1[[#This Row],[h_hargasetelahdiskon]]</f>
        <v>1671840</v>
      </c>
      <c r="V58" s="234"/>
      <c r="W58" s="234">
        <f ca="1">IF(Table1[[#This Row],[Column12]]="","",IF(Table1[[#This Row],[//]]="",INDIRECT(ADDRESS(ROW()-1,COLUMN())),Table1[[#This Row],[//]]))</f>
        <v>55</v>
      </c>
      <c r="X58" s="234">
        <f ca="1">IF(Table1[[#This Row],[h_id]]="","",COUNTIF(Table1[h_id],Table1[[#This Row],[h_id]]))</f>
        <v>7</v>
      </c>
      <c r="Y58" s="237">
        <f>IF(Table1[[#This Row],[Column12]]="","",Table1[[#This Row],[Qty]]*Table1[[#This Row],[Column13]])</f>
        <v>1944000</v>
      </c>
      <c r="Z58" s="448">
        <f>IF(Table1[[#This Row],[h_hargasebelumdiskon]]="","",IF(Table1[[#This Row],[Column14]]="",0,Table1[[#This Row],[h_hargasebelumdiskon]]*Table1[[#This Row],[Column14]]))</f>
        <v>272160</v>
      </c>
      <c r="AA58" s="448">
        <f>IF(Table1[[#This Row],[h_hargasebelumdiskon]]="","",IF(Table1[[#This Row],[Column15]]="",0,(Table1[[#This Row],[h_hargasebelumdiskon]]-Table1[[#This Row],[h_disc 1]])*Table1[[#This Row],[Column15]]))</f>
        <v>0</v>
      </c>
      <c r="AB58" s="237">
        <f>IF(Table1[[#This Row],[Column12]]="","",Table1[[#This Row],[h_disc 1]]+Table1[[#This Row],[h_disc 2]])</f>
        <v>272160</v>
      </c>
      <c r="AC58" s="237">
        <f>IF(Table1[[#This Row],[Column12]]="","",Table1[[#This Row],[h_hargasebelumdiskon]]-Table1[[#This Row],[h_diskon]])</f>
        <v>1671840</v>
      </c>
      <c r="AD58" s="237" t="str">
        <f ca="1">IF(Table1[[#This Row],[//]]="","",SUMIF(Table1[h_id],Table1[[#This Row],[h_id]],Table1[h_hargasetelahdiskon]))</f>
        <v/>
      </c>
      <c r="AF58" s="237" t="str">
        <f>Table1[[#This Row],[Column12]]&amp;Table1[[#This Row],[Unit]]&amp;Table1[[#This Row],[Column13]]</f>
        <v>CRAYON / OIL PASTEL TITI TI-P-18SPCS27000</v>
      </c>
      <c r="AG58"/>
      <c r="AH58"/>
      <c r="AI58"/>
    </row>
    <row r="59" spans="1:35">
      <c r="A59" s="234" t="str">
        <f ca="1">IF(Table1[[#This Row],[No. Invoice :]]="","",ROW())</f>
        <v/>
      </c>
      <c r="B59" s="445" t="str">
        <f ca="1">IF(Table1[[#This Row],[Column3]]="","",B$1+COUNT(INDIRECT("B$2:B"&amp;ROW()-1)))</f>
        <v/>
      </c>
      <c r="C59" s="235" t="str">
        <f>IF(Table1[[#This Row],[Column2]]="","",Table1[[#This Row],[Column2]]+C$1-1)</f>
        <v/>
      </c>
      <c r="D59" s="446"/>
      <c r="E59" s="447"/>
      <c r="F59" s="445"/>
      <c r="G59" s="234" t="str">
        <f ca="1">IF(Table1[[#This Row],[h_No. Invoice :]]="","",CONCATENATE("AM"," ",Table1[[#This Row],[h_No. Invoice :]]))</f>
        <v/>
      </c>
      <c r="H59" s="445" t="str">
        <f>IF(Table1[[#This Row],[Column5]]="","",INDEX(Table2[Column1],MATCH(Table1[[#This Row],[Column5]],Table2[a],0)))</f>
        <v/>
      </c>
      <c r="I59" s="234" t="str">
        <f>IF(Table1[[#This Row],[Column3]]=0,"",CONCATENATE(UPPER(Table1[[#This Row],[Column3]])," ",Table1[[#This Row],[Column4]]))</f>
        <v xml:space="preserve"> </v>
      </c>
      <c r="J59" s="234" t="str">
        <f>IF(Table1[[#This Row],[Column5]]="","",INDEX(Table2[e],IF(Table1[[#This Row],[Column5]]="","",MATCH(Table1[[#This Row],[Column5]],Table2[a],0)),))</f>
        <v/>
      </c>
      <c r="K59" s="234">
        <v>36</v>
      </c>
      <c r="L59" s="234" t="s">
        <v>197</v>
      </c>
      <c r="M59" s="234">
        <v>1</v>
      </c>
      <c r="N59" s="445" t="s">
        <v>370</v>
      </c>
      <c r="O59" s="445" t="str">
        <f>IF(Table1[[#This Row],[h_Item Description]]="","",INDEX([1]!db[NB PAJAK],MATCH(Table1[[#This Row],[h_Item Description]],[1]!db[kode],0)))</f>
        <v>CRAYON / OIL PASTEL TITI TI-P-36S</v>
      </c>
      <c r="P59" s="234" t="s">
        <v>374</v>
      </c>
      <c r="Q59" s="237">
        <v>47500</v>
      </c>
      <c r="R59" s="238">
        <v>0.14000000000000001</v>
      </c>
      <c r="S59" s="238"/>
      <c r="T59" s="448">
        <f>Table1[[#This Row],[h_hargasetelahdiskon]]</f>
        <v>1470600</v>
      </c>
      <c r="V59" s="234"/>
      <c r="W59" s="234">
        <f ca="1">IF(Table1[[#This Row],[Column12]]="","",IF(Table1[[#This Row],[//]]="",INDIRECT(ADDRESS(ROW()-1,COLUMN())),Table1[[#This Row],[//]]))</f>
        <v>55</v>
      </c>
      <c r="X59" s="234">
        <f ca="1">IF(Table1[[#This Row],[h_id]]="","",COUNTIF(Table1[h_id],Table1[[#This Row],[h_id]]))</f>
        <v>7</v>
      </c>
      <c r="Y59" s="237">
        <f>IF(Table1[[#This Row],[Column12]]="","",Table1[[#This Row],[Qty]]*Table1[[#This Row],[Column13]])</f>
        <v>1710000</v>
      </c>
      <c r="Z59" s="448">
        <f>IF(Table1[[#This Row],[h_hargasebelumdiskon]]="","",IF(Table1[[#This Row],[Column14]]="",0,Table1[[#This Row],[h_hargasebelumdiskon]]*Table1[[#This Row],[Column14]]))</f>
        <v>239400.00000000003</v>
      </c>
      <c r="AA59" s="448">
        <f>IF(Table1[[#This Row],[h_hargasebelumdiskon]]="","",IF(Table1[[#This Row],[Column15]]="",0,(Table1[[#This Row],[h_hargasebelumdiskon]]-Table1[[#This Row],[h_disc 1]])*Table1[[#This Row],[Column15]]))</f>
        <v>0</v>
      </c>
      <c r="AB59" s="237">
        <f>IF(Table1[[#This Row],[Column12]]="","",Table1[[#This Row],[h_disc 1]]+Table1[[#This Row],[h_disc 2]])</f>
        <v>239400.00000000003</v>
      </c>
      <c r="AC59" s="237">
        <f>IF(Table1[[#This Row],[Column12]]="","",Table1[[#This Row],[h_hargasebelumdiskon]]-Table1[[#This Row],[h_diskon]])</f>
        <v>1470600</v>
      </c>
      <c r="AD59" s="237" t="str">
        <f ca="1">IF(Table1[[#This Row],[//]]="","",SUMIF(Table1[h_id],Table1[[#This Row],[h_id]],Table1[h_hargasetelahdiskon]))</f>
        <v/>
      </c>
      <c r="AF59" s="237" t="str">
        <f>Table1[[#This Row],[Column12]]&amp;Table1[[#This Row],[Unit]]&amp;Table1[[#This Row],[Column13]]</f>
        <v>CRAYON / OIL PASTEL TITI TI-P-36SPCS47500</v>
      </c>
      <c r="AG59"/>
      <c r="AH59"/>
      <c r="AI59"/>
    </row>
    <row r="60" spans="1:35">
      <c r="A60" s="234" t="str">
        <f ca="1">IF(Table1[[#This Row],[No. Invoice :]]="","",ROW())</f>
        <v/>
      </c>
      <c r="B60" s="445" t="str">
        <f ca="1">IF(Table1[[#This Row],[Column3]]="","",B$1+COUNT(INDIRECT("B$2:B"&amp;ROW()-1)))</f>
        <v/>
      </c>
      <c r="C60" s="235" t="str">
        <f>IF(Table1[[#This Row],[Column2]]="","",Table1[[#This Row],[Column2]]+C$1-1)</f>
        <v/>
      </c>
      <c r="D60" s="446"/>
      <c r="E60" s="447"/>
      <c r="F60" s="445"/>
      <c r="G60" s="234" t="str">
        <f ca="1">IF(Table1[[#This Row],[h_No. Invoice :]]="","",CONCATENATE("AM"," ",Table1[[#This Row],[h_No. Invoice :]]))</f>
        <v/>
      </c>
      <c r="H60" s="445" t="str">
        <f>IF(Table1[[#This Row],[Column5]]="","",INDEX(Table2[Column1],MATCH(Table1[[#This Row],[Column5]],Table2[a],0)))</f>
        <v/>
      </c>
      <c r="I60" s="234" t="str">
        <f>IF(Table1[[#This Row],[Column3]]=0,"",CONCATENATE(UPPER(Table1[[#This Row],[Column3]])," ",Table1[[#This Row],[Column4]]))</f>
        <v xml:space="preserve"> </v>
      </c>
      <c r="J60" s="234" t="str">
        <f>IF(Table1[[#This Row],[Column5]]="","",INDEX(Table2[e],IF(Table1[[#This Row],[Column5]]="","",MATCH(Table1[[#This Row],[Column5]],Table2[a],0)),))</f>
        <v/>
      </c>
      <c r="K60" s="234">
        <v>24</v>
      </c>
      <c r="L60" s="234" t="s">
        <v>197</v>
      </c>
      <c r="M60" s="234">
        <v>1</v>
      </c>
      <c r="N60" s="445" t="s">
        <v>371</v>
      </c>
      <c r="O60" s="445" t="str">
        <f>IF(Table1[[#This Row],[h_Item Description]]="","",INDEX([1]!db[NB PAJAK],MATCH(Table1[[#This Row],[h_Item Description]],[1]!db[kode],0)))</f>
        <v>CRAYON / OIL PASTEL TITI TI-P-48S</v>
      </c>
      <c r="P60" s="234" t="s">
        <v>375</v>
      </c>
      <c r="Q60" s="237">
        <v>69000</v>
      </c>
      <c r="R60" s="238">
        <v>0.14000000000000001</v>
      </c>
      <c r="S60" s="238"/>
      <c r="T60" s="448">
        <f>Table1[[#This Row],[h_hargasetelahdiskon]]</f>
        <v>1424160</v>
      </c>
      <c r="V60" s="234"/>
      <c r="W60" s="234">
        <f ca="1">IF(Table1[[#This Row],[Column12]]="","",IF(Table1[[#This Row],[//]]="",INDIRECT(ADDRESS(ROW()-1,COLUMN())),Table1[[#This Row],[//]]))</f>
        <v>55</v>
      </c>
      <c r="X60" s="234">
        <f ca="1">IF(Table1[[#This Row],[h_id]]="","",COUNTIF(Table1[h_id],Table1[[#This Row],[h_id]]))</f>
        <v>7</v>
      </c>
      <c r="Y60" s="237">
        <f>IF(Table1[[#This Row],[Column12]]="","",Table1[[#This Row],[Qty]]*Table1[[#This Row],[Column13]])</f>
        <v>1656000</v>
      </c>
      <c r="Z60" s="448">
        <f>IF(Table1[[#This Row],[h_hargasebelumdiskon]]="","",IF(Table1[[#This Row],[Column14]]="",0,Table1[[#This Row],[h_hargasebelumdiskon]]*Table1[[#This Row],[Column14]]))</f>
        <v>231840.00000000003</v>
      </c>
      <c r="AA60" s="448">
        <f>IF(Table1[[#This Row],[h_hargasebelumdiskon]]="","",IF(Table1[[#This Row],[Column15]]="",0,(Table1[[#This Row],[h_hargasebelumdiskon]]-Table1[[#This Row],[h_disc 1]])*Table1[[#This Row],[Column15]]))</f>
        <v>0</v>
      </c>
      <c r="AB60" s="237">
        <f>IF(Table1[[#This Row],[Column12]]="","",Table1[[#This Row],[h_disc 1]]+Table1[[#This Row],[h_disc 2]])</f>
        <v>231840.00000000003</v>
      </c>
      <c r="AC60" s="237">
        <f>IF(Table1[[#This Row],[Column12]]="","",Table1[[#This Row],[h_hargasebelumdiskon]]-Table1[[#This Row],[h_diskon]])</f>
        <v>1424160</v>
      </c>
      <c r="AD60" s="237" t="str">
        <f ca="1">IF(Table1[[#This Row],[//]]="","",SUMIF(Table1[h_id],Table1[[#This Row],[h_id]],Table1[h_hargasetelahdiskon]))</f>
        <v/>
      </c>
      <c r="AF60" s="237" t="str">
        <f>Table1[[#This Row],[Column12]]&amp;Table1[[#This Row],[Unit]]&amp;Table1[[#This Row],[Column13]]</f>
        <v>CRAYON / OIL PASTEL TITI TI-P-48SPCS69000</v>
      </c>
      <c r="AG60"/>
      <c r="AH60"/>
      <c r="AI60"/>
    </row>
    <row r="61" spans="1:35">
      <c r="A61" s="234" t="str">
        <f ca="1">IF(Table1[[#This Row],[No. Invoice :]]="","",ROW())</f>
        <v/>
      </c>
      <c r="B61" s="445" t="str">
        <f ca="1">IF(Table1[[#This Row],[Column3]]="","",B$1+COUNT(INDIRECT("B$2:B"&amp;ROW()-1)))</f>
        <v/>
      </c>
      <c r="C61" s="235" t="str">
        <f>IF(Table1[[#This Row],[Column2]]="","",Table1[[#This Row],[Column2]]+C$1-1)</f>
        <v/>
      </c>
      <c r="D61" s="446"/>
      <c r="E61" s="447"/>
      <c r="F61" s="445"/>
      <c r="G61" s="234" t="str">
        <f ca="1">IF(Table1[[#This Row],[h_No. Invoice :]]="","",CONCATENATE("AM"," ",Table1[[#This Row],[h_No. Invoice :]]))</f>
        <v/>
      </c>
      <c r="H61" s="445" t="str">
        <f>IF(Table1[[#This Row],[Column5]]="","",INDEX(Table2[Column1],MATCH(Table1[[#This Row],[Column5]],Table2[a],0)))</f>
        <v/>
      </c>
      <c r="I61" s="234" t="str">
        <f>IF(Table1[[#This Row],[Column3]]=0,"",CONCATENATE(UPPER(Table1[[#This Row],[Column3]])," ",Table1[[#This Row],[Column4]]))</f>
        <v xml:space="preserve"> </v>
      </c>
      <c r="J61" s="234" t="str">
        <f>IF(Table1[[#This Row],[Column5]]="","",INDEX(Table2[e],IF(Table1[[#This Row],[Column5]]="","",MATCH(Table1[[#This Row],[Column5]],Table2[a],0)),))</f>
        <v/>
      </c>
      <c r="K61" s="234">
        <v>24</v>
      </c>
      <c r="L61" s="234" t="s">
        <v>197</v>
      </c>
      <c r="M61" s="234">
        <v>1</v>
      </c>
      <c r="N61" s="445" t="s">
        <v>372</v>
      </c>
      <c r="O61" s="445" t="str">
        <f>IF(Table1[[#This Row],[h_Item Description]]="","",INDEX([1]!db[NB PAJAK],MATCH(Table1[[#This Row],[h_Item Description]],[1]!db[kode],0)))</f>
        <v>CRAYON / OIL PASTEL TITI TI-P-55S</v>
      </c>
      <c r="P61" s="234" t="s">
        <v>376</v>
      </c>
      <c r="Q61" s="237">
        <v>76000</v>
      </c>
      <c r="R61" s="238">
        <v>0.14000000000000001</v>
      </c>
      <c r="S61" s="238"/>
      <c r="T61" s="448">
        <f>Table1[[#This Row],[h_hargasetelahdiskon]]</f>
        <v>1568640</v>
      </c>
      <c r="V61" s="234"/>
      <c r="W61" s="234">
        <f ca="1">IF(Table1[[#This Row],[Column12]]="","",IF(Table1[[#This Row],[//]]="",INDIRECT(ADDRESS(ROW()-1,COLUMN())),Table1[[#This Row],[//]]))</f>
        <v>55</v>
      </c>
      <c r="X61" s="234">
        <f ca="1">IF(Table1[[#This Row],[h_id]]="","",COUNTIF(Table1[h_id],Table1[[#This Row],[h_id]]))</f>
        <v>7</v>
      </c>
      <c r="Y61" s="237">
        <f>IF(Table1[[#This Row],[Column12]]="","",Table1[[#This Row],[Qty]]*Table1[[#This Row],[Column13]])</f>
        <v>1824000</v>
      </c>
      <c r="Z61" s="448">
        <f>IF(Table1[[#This Row],[h_hargasebelumdiskon]]="","",IF(Table1[[#This Row],[Column14]]="",0,Table1[[#This Row],[h_hargasebelumdiskon]]*Table1[[#This Row],[Column14]]))</f>
        <v>255360.00000000003</v>
      </c>
      <c r="AA61" s="448">
        <f>IF(Table1[[#This Row],[h_hargasebelumdiskon]]="","",IF(Table1[[#This Row],[Column15]]="",0,(Table1[[#This Row],[h_hargasebelumdiskon]]-Table1[[#This Row],[h_disc 1]])*Table1[[#This Row],[Column15]]))</f>
        <v>0</v>
      </c>
      <c r="AB61" s="237">
        <f>IF(Table1[[#This Row],[Column12]]="","",Table1[[#This Row],[h_disc 1]]+Table1[[#This Row],[h_disc 2]])</f>
        <v>255360.00000000003</v>
      </c>
      <c r="AC61" s="237">
        <f>IF(Table1[[#This Row],[Column12]]="","",Table1[[#This Row],[h_hargasebelumdiskon]]-Table1[[#This Row],[h_diskon]])</f>
        <v>1568640</v>
      </c>
      <c r="AD61" s="237" t="str">
        <f ca="1">IF(Table1[[#This Row],[//]]="","",SUMIF(Table1[h_id],Table1[[#This Row],[h_id]],Table1[h_hargasetelahdiskon]))</f>
        <v/>
      </c>
      <c r="AF61" s="237" t="str">
        <f>Table1[[#This Row],[Column12]]&amp;Table1[[#This Row],[Unit]]&amp;Table1[[#This Row],[Column13]]</f>
        <v>CRAYON / OIL PASTEL TITI TI-P-55SPCS76000</v>
      </c>
      <c r="AG61"/>
      <c r="AH61"/>
      <c r="AI61"/>
    </row>
    <row r="62" spans="1:35">
      <c r="A62" s="234" t="str">
        <f ca="1">IF(Table1[[#This Row],[No. Invoice :]]="","",ROW())</f>
        <v/>
      </c>
      <c r="B62" s="437" t="str">
        <f ca="1">IF(Table1[[#This Row],[Column3]]="","",B$1+COUNT(INDIRECT("B$2:B"&amp;ROW()-1)))</f>
        <v/>
      </c>
      <c r="C62" s="235" t="str">
        <f>IF(Table1[[#This Row],[Column2]]="","",Table1[[#This Row],[Column2]]+C$1-1)</f>
        <v/>
      </c>
      <c r="D62" s="438"/>
      <c r="E62" s="439"/>
      <c r="F62" s="437"/>
      <c r="G62" s="234" t="str">
        <f ca="1">IF(Table1[[#This Row],[h_No. Invoice :]]="","",CONCATENATE("AM"," ",Table1[[#This Row],[h_No. Invoice :]]))</f>
        <v/>
      </c>
      <c r="H62" s="437" t="str">
        <f>IF(Table1[[#This Row],[Column5]]="","",INDEX(Table2[Column1],MATCH(Table1[[#This Row],[Column5]],Table2[a],0)))</f>
        <v/>
      </c>
      <c r="I62" s="234" t="str">
        <f>IF(Table1[[#This Row],[Column3]]=0,"",CONCATENATE(UPPER(Table1[[#This Row],[Column3]])," ",Table1[[#This Row],[Column4]]))</f>
        <v xml:space="preserve"> </v>
      </c>
      <c r="J62" s="234" t="str">
        <f>IF(Table1[[#This Row],[Column5]]="","",INDEX(Table2[e],IF(Table1[[#This Row],[Column5]]="","",MATCH(Table1[[#This Row],[Column5]],Table2[a],0)),))</f>
        <v/>
      </c>
      <c r="K62" s="234"/>
      <c r="L62" s="234"/>
      <c r="N62" s="437"/>
      <c r="O62" s="437" t="str">
        <f>IF(Table1[[#This Row],[h_Item Description]]="","",INDEX([1]!db[NB PAJAK],MATCH(Table1[[#This Row],[h_Item Description]],[1]!db[kode],0)))</f>
        <v/>
      </c>
      <c r="P62" s="415"/>
      <c r="Q62" s="237"/>
      <c r="R62" s="238"/>
      <c r="S62" s="238"/>
      <c r="T62" s="440" t="str">
        <f>Table1[[#This Row],[h_hargasetelahdiskon]]</f>
        <v/>
      </c>
      <c r="V62" s="234"/>
      <c r="W62" s="234" t="str">
        <f ca="1">IF(Table1[[#This Row],[Column12]]="","",IF(Table1[[#This Row],[//]]="",INDIRECT(ADDRESS(ROW()-1,COLUMN())),Table1[[#This Row],[//]]))</f>
        <v/>
      </c>
      <c r="X62" s="234" t="str">
        <f ca="1">IF(Table1[[#This Row],[h_id]]="","",COUNTIF(Table1[h_id],Table1[[#This Row],[h_id]]))</f>
        <v/>
      </c>
      <c r="Y62" s="237" t="str">
        <f>IF(Table1[[#This Row],[Column12]]="","",Table1[[#This Row],[Qty]]*Table1[[#This Row],[Column13]])</f>
        <v/>
      </c>
      <c r="Z62" s="440" t="str">
        <f>IF(Table1[[#This Row],[h_hargasebelumdiskon]]="","",IF(Table1[[#This Row],[Column14]]="",0,Table1[[#This Row],[h_hargasebelumdiskon]]*Table1[[#This Row],[Column14]]))</f>
        <v/>
      </c>
      <c r="AA62" s="440" t="str">
        <f>IF(Table1[[#This Row],[h_hargasebelumdiskon]]="","",IF(Table1[[#This Row],[Column15]]="",0,(Table1[[#This Row],[h_hargasebelumdiskon]]-Table1[[#This Row],[h_disc 1]])*Table1[[#This Row],[Column15]]))</f>
        <v/>
      </c>
      <c r="AB62" s="237" t="str">
        <f>IF(Table1[[#This Row],[Column12]]="","",Table1[[#This Row],[h_disc 1]]+Table1[[#This Row],[h_disc 2]])</f>
        <v/>
      </c>
      <c r="AC62" s="237" t="str">
        <f>IF(Table1[[#This Row],[Column12]]="","",Table1[[#This Row],[h_hargasebelumdiskon]]-Table1[[#This Row],[h_diskon]])</f>
        <v/>
      </c>
      <c r="AD62" s="237" t="str">
        <f ca="1">IF(Table1[[#This Row],[//]]="","",SUMIF(Table1[h_id],Table1[[#This Row],[h_id]],Table1[h_hargasetelahdiskon]))</f>
        <v/>
      </c>
      <c r="AF62" s="237" t="str">
        <f>Table1[[#This Row],[Column12]]&amp;Table1[[#This Row],[Unit]]&amp;Table1[[#This Row],[Column13]]</f>
        <v/>
      </c>
      <c r="AG62"/>
      <c r="AH62"/>
      <c r="AI62"/>
    </row>
    <row r="63" spans="1:35">
      <c r="A63" s="234">
        <f ca="1">IF(Table1[[#This Row],[No. Invoice :]]="","",ROW())</f>
        <v>63</v>
      </c>
      <c r="B63" s="437">
        <f ca="1">IF(Table1[[#This Row],[Column3]]="","",B$1+COUNT(INDIRECT("B$2:B"&amp;ROW()-1)))</f>
        <v>24050011</v>
      </c>
      <c r="C63" s="235">
        <f>IF(Table1[[#This Row],[Column2]]="","",Table1[[#This Row],[Column2]]+C$1-1)</f>
        <v>45422</v>
      </c>
      <c r="D63" s="438">
        <v>10</v>
      </c>
      <c r="E63" s="236" t="s">
        <v>290</v>
      </c>
      <c r="F63" s="234" t="s">
        <v>71</v>
      </c>
      <c r="G63" s="234" t="str">
        <f ca="1">IF(Table1[[#This Row],[h_No. Invoice :]]="","",CONCATENATE("AM"," ",Table1[[#This Row],[h_No. Invoice :]]))</f>
        <v>AM 24050011</v>
      </c>
      <c r="H63" s="437" t="str">
        <f>IF(Table1[[#This Row],[Column5]]="","",INDEX(Table2[Column1],MATCH(Table1[[#This Row],[Column5]],Table2[a],0)))</f>
        <v>KO</v>
      </c>
      <c r="I63" s="234" t="str">
        <f>IF(Table1[[#This Row],[Column3]]=0,"",CONCATENATE(UPPER(Table1[[#This Row],[Column3]])," ",Table1[[#This Row],[Column4]]))</f>
        <v>KO 4805</v>
      </c>
      <c r="J63" s="234" t="str">
        <f>IF(Table1[[#This Row],[Column5]]="","",INDEX(Table2[e],IF(Table1[[#This Row],[Column5]]="","",MATCH(Table1[[#This Row],[Column5]],Table2[a],0)),))</f>
        <v>CV SINAR CAHAYA NIRMALA BREBES</v>
      </c>
      <c r="K63" s="234">
        <v>1</v>
      </c>
      <c r="L63" s="234" t="s">
        <v>200</v>
      </c>
      <c r="N63" s="437"/>
      <c r="O63" s="437" t="str">
        <f>IF(Table1[[#This Row],[h_Item Description]]="","",INDEX([1]!db[NB PAJAK],MATCH(Table1[[#This Row],[h_Item Description]],[1]!db[kode],0)))</f>
        <v/>
      </c>
      <c r="P63" s="234" t="s">
        <v>289</v>
      </c>
      <c r="Q63" s="237">
        <v>58000</v>
      </c>
      <c r="R63" s="238"/>
      <c r="S63" s="238"/>
      <c r="T63" s="440">
        <f>Table1[[#This Row],[h_hargasetelahdiskon]]</f>
        <v>58000</v>
      </c>
      <c r="U63" s="237" t="s">
        <v>239</v>
      </c>
      <c r="V63" s="234"/>
      <c r="W63" s="234">
        <f ca="1">IF(Table1[[#This Row],[Column12]]="","",IF(Table1[[#This Row],[//]]="",INDIRECT(ADDRESS(ROW()-1,COLUMN())),Table1[[#This Row],[//]]))</f>
        <v>63</v>
      </c>
      <c r="X63" s="234">
        <f ca="1">IF(Table1[[#This Row],[h_id]]="","",COUNTIF(Table1[h_id],Table1[[#This Row],[h_id]]))</f>
        <v>16</v>
      </c>
      <c r="Y63" s="237">
        <f>IF(Table1[[#This Row],[Column12]]="","",Table1[[#This Row],[Qty]]*Table1[[#This Row],[Column13]])</f>
        <v>58000</v>
      </c>
      <c r="Z63" s="440">
        <f>IF(Table1[[#This Row],[h_hargasebelumdiskon]]="","",IF(Table1[[#This Row],[Column14]]="",0,Table1[[#This Row],[h_hargasebelumdiskon]]*Table1[[#This Row],[Column14]]))</f>
        <v>0</v>
      </c>
      <c r="AA63" s="440">
        <f>IF(Table1[[#This Row],[h_hargasebelumdiskon]]="","",IF(Table1[[#This Row],[Column15]]="",0,(Table1[[#This Row],[h_hargasebelumdiskon]]-Table1[[#This Row],[h_disc 1]])*Table1[[#This Row],[Column15]]))</f>
        <v>0</v>
      </c>
      <c r="AB63" s="237">
        <f>IF(Table1[[#This Row],[Column12]]="","",Table1[[#This Row],[h_disc 1]]+Table1[[#This Row],[h_disc 2]])</f>
        <v>0</v>
      </c>
      <c r="AC63" s="237">
        <f>IF(Table1[[#This Row],[Column12]]="","",Table1[[#This Row],[h_hargasebelumdiskon]]-Table1[[#This Row],[h_diskon]])</f>
        <v>58000</v>
      </c>
      <c r="AD63" s="237">
        <f ca="1">IF(Table1[[#This Row],[//]]="","",SUMIF(Table1[h_id],Table1[[#This Row],[h_id]],Table1[h_hargasetelahdiskon]))</f>
        <v>4632600</v>
      </c>
      <c r="AF63" s="237" t="str">
        <f>Table1[[#This Row],[Column12]]&amp;Table1[[#This Row],[Unit]]&amp;Table1[[#This Row],[Column13]]</f>
        <v>BENSIA SF-9925 C ISI 42 PC (SENDOK GARPU)BOX58000</v>
      </c>
      <c r="AG63"/>
      <c r="AH63"/>
      <c r="AI63"/>
    </row>
    <row r="64" spans="1:35">
      <c r="A64" s="234" t="str">
        <f ca="1">IF(Table1[[#This Row],[No. Invoice :]]="","",ROW())</f>
        <v/>
      </c>
      <c r="B64" s="234" t="str">
        <f ca="1">IF(Table1[[#This Row],[Column3]]="","",B$1+COUNT(INDIRECT("B$2:B"&amp;ROW()-1)))</f>
        <v/>
      </c>
      <c r="C64" s="235" t="str">
        <f>IF(Table1[[#This Row],[Column2]]="","",Table1[[#This Row],[Column2]]+C$1-1)</f>
        <v/>
      </c>
      <c r="D64" s="234"/>
      <c r="E64" s="236"/>
      <c r="F64" s="234"/>
      <c r="G64" s="234" t="str">
        <f ca="1">IF(Table1[[#This Row],[h_No. Invoice :]]="","",CONCATENATE("AM"," ",Table1[[#This Row],[h_No. Invoice :]]))</f>
        <v/>
      </c>
      <c r="H64" s="244" t="str">
        <f>IF(Table1[[#This Row],[Column5]]="","",INDEX(Table2[Column1],MATCH(Table1[[#This Row],[Column5]],Table2[a],0)))</f>
        <v/>
      </c>
      <c r="I64" s="234" t="str">
        <f>IF(Table1[[#This Row],[Column3]]=0,"",CONCATENATE(UPPER(Table1[[#This Row],[Column3]])," ",Table1[[#This Row],[Column4]]))</f>
        <v xml:space="preserve"> </v>
      </c>
      <c r="J64" s="234" t="str">
        <f>IF(Table1[[#This Row],[Column5]]="","",INDEX(Table2[e],IF(Table1[[#This Row],[Column5]]="","",MATCH(Table1[[#This Row],[Column5]],Table2[a],0)),))</f>
        <v/>
      </c>
      <c r="K64" s="234">
        <v>1</v>
      </c>
      <c r="L64" s="234" t="s">
        <v>200</v>
      </c>
      <c r="O64" s="234" t="str">
        <f>IF(Table1[[#This Row],[h_Item Description]]="","",INDEX([1]!db[NB PAJAK],MATCH(Table1[[#This Row],[h_Item Description]],[1]!db[kode],0)))</f>
        <v/>
      </c>
      <c r="P64" s="234" t="s">
        <v>291</v>
      </c>
      <c r="Q64" s="237">
        <v>58000</v>
      </c>
      <c r="R64" s="238"/>
      <c r="S64" s="238"/>
      <c r="T64" s="237">
        <f>Table1[[#This Row],[h_hargasetelahdiskon]]</f>
        <v>58000</v>
      </c>
      <c r="V64" s="234"/>
      <c r="W64" s="234">
        <f ca="1">IF(Table1[[#This Row],[Column12]]="","",IF(Table1[[#This Row],[//]]="",INDIRECT(ADDRESS(ROW()-1,COLUMN())),Table1[[#This Row],[//]]))</f>
        <v>63</v>
      </c>
      <c r="X64" s="234">
        <f ca="1">IF(Table1[[#This Row],[h_id]]="","",COUNTIF(Table1[h_id],Table1[[#This Row],[h_id]]))</f>
        <v>16</v>
      </c>
      <c r="Y64" s="237">
        <f>IF(Table1[[#This Row],[Column12]]="","",Table1[[#This Row],[Qty]]*Table1[[#This Row],[Column13]])</f>
        <v>58000</v>
      </c>
      <c r="Z64" s="237">
        <f>IF(Table1[[#This Row],[h_hargasebelumdiskon]]="","",IF(Table1[[#This Row],[Column14]]="",0,Table1[[#This Row],[h_hargasebelumdiskon]]*Table1[[#This Row],[Column14]]))</f>
        <v>0</v>
      </c>
      <c r="AA64" s="237">
        <f>IF(Table1[[#This Row],[h_hargasebelumdiskon]]="","",IF(Table1[[#This Row],[Column15]]="",0,(Table1[[#This Row],[h_hargasebelumdiskon]]-Table1[[#This Row],[h_disc 1]])*Table1[[#This Row],[Column15]]))</f>
        <v>0</v>
      </c>
      <c r="AB64" s="237">
        <f>IF(Table1[[#This Row],[Column12]]="","",Table1[[#This Row],[h_disc 1]]+Table1[[#This Row],[h_disc 2]])</f>
        <v>0</v>
      </c>
      <c r="AC64" s="237">
        <f>IF(Table1[[#This Row],[Column12]]="","",Table1[[#This Row],[h_hargasebelumdiskon]]-Table1[[#This Row],[h_diskon]])</f>
        <v>58000</v>
      </c>
      <c r="AD64" s="237" t="str">
        <f ca="1">IF(Table1[[#This Row],[//]]="","",SUMIF(Table1[h_id],Table1[[#This Row],[h_id]],Table1[h_hargasetelahdiskon]))</f>
        <v/>
      </c>
      <c r="AF64" s="237" t="str">
        <f>Table1[[#This Row],[Column12]]&amp;Table1[[#This Row],[Unit]]&amp;Table1[[#This Row],[Column13]]</f>
        <v>BENSIA SF-9927 W ISI 42 PC (KIPAS/KINCIR)BOX58000</v>
      </c>
      <c r="AG64"/>
      <c r="AH64"/>
      <c r="AI64"/>
    </row>
    <row r="65" spans="1:35">
      <c r="A65" s="234" t="str">
        <f ca="1">IF(Table1[[#This Row],[No. Invoice :]]="","",ROW())</f>
        <v/>
      </c>
      <c r="B65" s="234" t="str">
        <f ca="1">IF(Table1[[#This Row],[Column3]]="","",B$1+COUNT(INDIRECT("B$2:B"&amp;ROW()-1)))</f>
        <v/>
      </c>
      <c r="C65" s="235" t="str">
        <f>IF(Table1[[#This Row],[Column2]]="","",Table1[[#This Row],[Column2]]+C$1-1)</f>
        <v/>
      </c>
      <c r="E65" s="236"/>
      <c r="F65" s="234"/>
      <c r="G65" s="234" t="str">
        <f ca="1">IF(Table1[[#This Row],[h_No. Invoice :]]="","",CONCATENATE("AM"," ",Table1[[#This Row],[h_No. Invoice :]]))</f>
        <v/>
      </c>
      <c r="H65" s="234" t="str">
        <f>IF(Table1[[#This Row],[Column5]]="","",INDEX(Table2[Column1],MATCH(Table1[[#This Row],[Column5]],Table2[a],0)))</f>
        <v/>
      </c>
      <c r="I65" s="234" t="str">
        <f>IF(Table1[[#This Row],[Column3]]=0,"",CONCATENATE(UPPER(Table1[[#This Row],[Column3]])," ",Table1[[#This Row],[Column4]]))</f>
        <v xml:space="preserve"> </v>
      </c>
      <c r="J65" s="234" t="str">
        <f>IF(Table1[[#This Row],[Column5]]="","",INDEX(Table2[e],IF(Table1[[#This Row],[Column5]]="","",MATCH(Table1[[#This Row],[Column5]],Table2[a],0)),))</f>
        <v/>
      </c>
      <c r="K65" s="234">
        <v>1</v>
      </c>
      <c r="L65" s="234" t="s">
        <v>200</v>
      </c>
      <c r="O65" s="234" t="str">
        <f>IF(Table1[[#This Row],[h_Item Description]]="","",INDEX([1]!db[NB PAJAK],MATCH(Table1[[#This Row],[h_Item Description]],[1]!db[kode],0)))</f>
        <v/>
      </c>
      <c r="P65" s="234" t="s">
        <v>292</v>
      </c>
      <c r="Q65" s="237">
        <v>63000</v>
      </c>
      <c r="R65" s="238"/>
      <c r="S65" s="238"/>
      <c r="T65" s="237">
        <f>Table1[[#This Row],[h_hargasetelahdiskon]]</f>
        <v>63000</v>
      </c>
      <c r="V65" s="234"/>
      <c r="W65" s="234">
        <f ca="1">IF(Table1[[#This Row],[Column12]]="","",IF(Table1[[#This Row],[//]]="",INDIRECT(ADDRESS(ROW()-1,COLUMN())),Table1[[#This Row],[//]]))</f>
        <v>63</v>
      </c>
      <c r="X65" s="234">
        <f ca="1">IF(Table1[[#This Row],[h_id]]="","",COUNTIF(Table1[h_id],Table1[[#This Row],[h_id]]))</f>
        <v>16</v>
      </c>
      <c r="Y65" s="237">
        <f>IF(Table1[[#This Row],[Column12]]="","",Table1[[#This Row],[Qty]]*Table1[[#This Row],[Column13]])</f>
        <v>63000</v>
      </c>
      <c r="Z65" s="237">
        <f>IF(Table1[[#This Row],[h_hargasebelumdiskon]]="","",IF(Table1[[#This Row],[Column14]]="",0,Table1[[#This Row],[h_hargasebelumdiskon]]*Table1[[#This Row],[Column14]]))</f>
        <v>0</v>
      </c>
      <c r="AA65" s="237">
        <f>IF(Table1[[#This Row],[h_hargasebelumdiskon]]="","",IF(Table1[[#This Row],[Column15]]="",0,(Table1[[#This Row],[h_hargasebelumdiskon]]-Table1[[#This Row],[h_disc 1]])*Table1[[#This Row],[Column15]]))</f>
        <v>0</v>
      </c>
      <c r="AB65" s="237">
        <f>IF(Table1[[#This Row],[Column12]]="","",Table1[[#This Row],[h_disc 1]]+Table1[[#This Row],[h_disc 2]])</f>
        <v>0</v>
      </c>
      <c r="AC65" s="237">
        <f>IF(Table1[[#This Row],[Column12]]="","",Table1[[#This Row],[h_hargasebelumdiskon]]-Table1[[#This Row],[h_diskon]])</f>
        <v>63000</v>
      </c>
      <c r="AD65" s="237" t="str">
        <f ca="1">IF(Table1[[#This Row],[//]]="","",SUMIF(Table1[h_id],Table1[[#This Row],[h_id]],Table1[h_hargasetelahdiskon]))</f>
        <v/>
      </c>
      <c r="AF65" s="237" t="str">
        <f>Table1[[#This Row],[Column12]]&amp;Table1[[#This Row],[Unit]]&amp;Table1[[#This Row],[Column13]]</f>
        <v>BENSIA SF-9939 A ISI 32 PC (LOVE DADU)BOX63000</v>
      </c>
      <c r="AG65"/>
      <c r="AH65"/>
      <c r="AI65"/>
    </row>
    <row r="66" spans="1:35">
      <c r="A66" s="234" t="str">
        <f ca="1">IF(Table1[[#This Row],[No. Invoice :]]="","",ROW())</f>
        <v/>
      </c>
      <c r="B66" s="234" t="str">
        <f ca="1">IF(Table1[[#This Row],[Column3]]="","",B$1+COUNT(INDIRECT("B$2:B"&amp;ROW()-1)))</f>
        <v/>
      </c>
      <c r="C66" s="235" t="str">
        <f>IF(Table1[[#This Row],[Column2]]="","",Table1[[#This Row],[Column2]]+C$1-1)</f>
        <v/>
      </c>
      <c r="E66" s="236"/>
      <c r="F66" s="234"/>
      <c r="G66" s="234" t="str">
        <f ca="1">IF(Table1[[#This Row],[h_No. Invoice :]]="","",CONCATENATE("AM"," ",Table1[[#This Row],[h_No. Invoice :]]))</f>
        <v/>
      </c>
      <c r="H66" s="234" t="str">
        <f>IF(Table1[[#This Row],[Column5]]="","",INDEX(Table2[Column1],MATCH(Table1[[#This Row],[Column5]],Table2[a],0)))</f>
        <v/>
      </c>
      <c r="I66" s="234" t="str">
        <f>IF(Table1[[#This Row],[Column3]]=0,"",CONCATENATE(UPPER(Table1[[#This Row],[Column3]])," ",Table1[[#This Row],[Column4]]))</f>
        <v xml:space="preserve"> </v>
      </c>
      <c r="J66" s="234" t="str">
        <f>IF(Table1[[#This Row],[Column5]]="","",INDEX(Table2[e],IF(Table1[[#This Row],[Column5]]="","",MATCH(Table1[[#This Row],[Column5]],Table2[a],0)),))</f>
        <v/>
      </c>
      <c r="K66" s="234">
        <v>6</v>
      </c>
      <c r="L66" s="234" t="s">
        <v>186</v>
      </c>
      <c r="N66" s="234" t="s">
        <v>225</v>
      </c>
      <c r="O66" s="234" t="str">
        <f>IF(Table1[[#This Row],[h_Item Description]]="","",INDEX([1]!db[NB PAJAK],MATCH(Table1[[#This Row],[h_Item Description]],[1]!db[kode],0)))</f>
        <v>GEL PEN VANCO 0.28MM GP-559 HI-TOUCH</v>
      </c>
      <c r="P66" s="234" t="s">
        <v>305</v>
      </c>
      <c r="Q66" s="237">
        <v>27500</v>
      </c>
      <c r="R66" s="238"/>
      <c r="S66" s="238"/>
      <c r="T66" s="237">
        <f>Table1[[#This Row],[h_hargasetelahdiskon]]</f>
        <v>165000</v>
      </c>
      <c r="V66" s="234"/>
      <c r="W66" s="234">
        <f ca="1">IF(Table1[[#This Row],[Column12]]="","",IF(Table1[[#This Row],[//]]="",INDIRECT(ADDRESS(ROW()-1,COLUMN())),Table1[[#This Row],[//]]))</f>
        <v>63</v>
      </c>
      <c r="X66" s="234">
        <f ca="1">IF(Table1[[#This Row],[h_id]]="","",COUNTIF(Table1[h_id],Table1[[#This Row],[h_id]]))</f>
        <v>16</v>
      </c>
      <c r="Y66" s="237">
        <f>IF(Table1[[#This Row],[Column12]]="","",Table1[[#This Row],[Qty]]*Table1[[#This Row],[Column13]])</f>
        <v>165000</v>
      </c>
      <c r="Z66" s="237">
        <f>IF(Table1[[#This Row],[h_hargasebelumdiskon]]="","",IF(Table1[[#This Row],[Column14]]="",0,Table1[[#This Row],[h_hargasebelumdiskon]]*Table1[[#This Row],[Column14]]))</f>
        <v>0</v>
      </c>
      <c r="AA66" s="237">
        <f>IF(Table1[[#This Row],[h_hargasebelumdiskon]]="","",IF(Table1[[#This Row],[Column15]]="",0,(Table1[[#This Row],[h_hargasebelumdiskon]]-Table1[[#This Row],[h_disc 1]])*Table1[[#This Row],[Column15]]))</f>
        <v>0</v>
      </c>
      <c r="AB66" s="237">
        <f>IF(Table1[[#This Row],[Column12]]="","",Table1[[#This Row],[h_disc 1]]+Table1[[#This Row],[h_disc 2]])</f>
        <v>0</v>
      </c>
      <c r="AC66" s="237">
        <f>IF(Table1[[#This Row],[Column12]]="","",Table1[[#This Row],[h_hargasebelumdiskon]]-Table1[[#This Row],[h_diskon]])</f>
        <v>165000</v>
      </c>
      <c r="AD66" s="237" t="str">
        <f ca="1">IF(Table1[[#This Row],[//]]="","",SUMIF(Table1[h_id],Table1[[#This Row],[h_id]],Table1[h_hargasetelahdiskon]))</f>
        <v/>
      </c>
      <c r="AF66" s="237" t="str">
        <f>Table1[[#This Row],[Column12]]&amp;Table1[[#This Row],[Unit]]&amp;Table1[[#This Row],[Column13]]</f>
        <v>GEL PEN VANCO 0.28MM GP-559 HI-TOUCHLSN27500</v>
      </c>
      <c r="AG66"/>
      <c r="AH66"/>
      <c r="AI66"/>
    </row>
    <row r="67" spans="1:35">
      <c r="A67" s="234" t="str">
        <f ca="1">IF(Table1[[#This Row],[No. Invoice :]]="","",ROW())</f>
        <v/>
      </c>
      <c r="B67" s="234" t="str">
        <f ca="1">IF(Table1[[#This Row],[Column3]]="","",B$1+COUNT(INDIRECT("B$2:B"&amp;ROW()-1)))</f>
        <v/>
      </c>
      <c r="C67" s="235" t="str">
        <f>IF(Table1[[#This Row],[Column2]]="","",Table1[[#This Row],[Column2]]+C$1-1)</f>
        <v/>
      </c>
      <c r="D67" s="234"/>
      <c r="E67" s="236"/>
      <c r="F67" s="234"/>
      <c r="G67" s="234" t="str">
        <f ca="1">IF(Table1[[#This Row],[h_No. Invoice :]]="","",CONCATENATE("AM"," ",Table1[[#This Row],[h_No. Invoice :]]))</f>
        <v/>
      </c>
      <c r="H67" s="234" t="str">
        <f>IF(Table1[[#This Row],[Column5]]="","",INDEX(Table2[Column1],MATCH(Table1[[#This Row],[Column5]],Table2[a],0)))</f>
        <v/>
      </c>
      <c r="I67" s="234" t="str">
        <f>IF(Table1[[#This Row],[Column3]]=0,"",CONCATENATE(UPPER(Table1[[#This Row],[Column3]])," ",Table1[[#This Row],[Column4]]))</f>
        <v xml:space="preserve"> </v>
      </c>
      <c r="J67" s="234" t="str">
        <f>IF(Table1[[#This Row],[Column5]]="","",INDEX(Table2[e],IF(Table1[[#This Row],[Column5]]="","",MATCH(Table1[[#This Row],[Column5]],Table2[a],0)),))</f>
        <v/>
      </c>
      <c r="K67" s="234">
        <v>2</v>
      </c>
      <c r="L67" s="234" t="s">
        <v>200</v>
      </c>
      <c r="O67" s="234" t="str">
        <f>IF(Table1[[#This Row],[h_Item Description]]="","",INDEX([1]!db[NB PAJAK],MATCH(Table1[[#This Row],[h_Item Description]],[1]!db[kode],0)))</f>
        <v/>
      </c>
      <c r="P67" s="234" t="s">
        <v>293</v>
      </c>
      <c r="Q67" s="237">
        <v>85000</v>
      </c>
      <c r="R67" s="238"/>
      <c r="S67" s="238"/>
      <c r="T67" s="237">
        <f>Table1[[#This Row],[h_hargasetelahdiskon]]</f>
        <v>170000</v>
      </c>
      <c r="V67" s="234"/>
      <c r="W67" s="234">
        <f ca="1">IF(Table1[[#This Row],[Column12]]="","",IF(Table1[[#This Row],[//]]="",INDIRECT(ADDRESS(ROW()-1,COLUMN())),Table1[[#This Row],[//]]))</f>
        <v>63</v>
      </c>
      <c r="X67" s="234">
        <f ca="1">IF(Table1[[#This Row],[h_id]]="","",COUNTIF(Table1[h_id],Table1[[#This Row],[h_id]]))</f>
        <v>16</v>
      </c>
      <c r="Y67" s="237">
        <f>IF(Table1[[#This Row],[Column12]]="","",Table1[[#This Row],[Qty]]*Table1[[#This Row],[Column13]])</f>
        <v>170000</v>
      </c>
      <c r="Z67" s="237">
        <f>IF(Table1[[#This Row],[h_hargasebelumdiskon]]="","",IF(Table1[[#This Row],[Column14]]="",0,Table1[[#This Row],[h_hargasebelumdiskon]]*Table1[[#This Row],[Column14]]))</f>
        <v>0</v>
      </c>
      <c r="AA67" s="237">
        <f>IF(Table1[[#This Row],[h_hargasebelumdiskon]]="","",IF(Table1[[#This Row],[Column15]]="",0,(Table1[[#This Row],[h_hargasebelumdiskon]]-Table1[[#This Row],[h_disc 1]])*Table1[[#This Row],[Column15]]))</f>
        <v>0</v>
      </c>
      <c r="AB67" s="237">
        <f>IF(Table1[[#This Row],[Column12]]="","",Table1[[#This Row],[h_disc 1]]+Table1[[#This Row],[h_disc 2]])</f>
        <v>0</v>
      </c>
      <c r="AC67" s="237">
        <f>IF(Table1[[#This Row],[Column12]]="","",Table1[[#This Row],[h_hargasebelumdiskon]]-Table1[[#This Row],[h_diskon]])</f>
        <v>170000</v>
      </c>
      <c r="AD67" s="237" t="str">
        <f ca="1">IF(Table1[[#This Row],[//]]="","",SUMIF(Table1[h_id],Table1[[#This Row],[h_id]],Table1[h_hargasetelahdiskon]))</f>
        <v/>
      </c>
      <c r="AF67" s="237" t="str">
        <f>Table1[[#This Row],[Column12]]&amp;Table1[[#This Row],[Unit]]&amp;Table1[[#This Row],[Column13]]</f>
        <v>PENSIL ZHONG HUA 6925-2B/B OVALBOX85000</v>
      </c>
      <c r="AG67"/>
      <c r="AH67"/>
      <c r="AI67"/>
    </row>
    <row r="68" spans="1:35">
      <c r="A68" s="234" t="str">
        <f ca="1">IF(Table1[[#This Row],[No. Invoice :]]="","",ROW())</f>
        <v/>
      </c>
      <c r="B68" s="234" t="str">
        <f ca="1">IF(Table1[[#This Row],[Column3]]="","",B$1+COUNT(INDIRECT("B$2:B"&amp;ROW()-1)))</f>
        <v/>
      </c>
      <c r="C68" s="235" t="str">
        <f>IF(Table1[[#This Row],[Column2]]="","",Table1[[#This Row],[Column2]]+C$1-1)</f>
        <v/>
      </c>
      <c r="E68" s="236"/>
      <c r="F68" s="234"/>
      <c r="G68" s="234" t="str">
        <f ca="1">IF(Table1[[#This Row],[h_No. Invoice :]]="","",CONCATENATE("AM"," ",Table1[[#This Row],[h_No. Invoice :]]))</f>
        <v/>
      </c>
      <c r="H68" s="234" t="str">
        <f>IF(Table1[[#This Row],[Column5]]="","",INDEX(Table2[Column1],MATCH(Table1[[#This Row],[Column5]],Table2[a],0)))</f>
        <v/>
      </c>
      <c r="I68" s="234" t="str">
        <f>IF(Table1[[#This Row],[Column3]]=0,"",CONCATENATE(UPPER(Table1[[#This Row],[Column3]])," ",Table1[[#This Row],[Column4]]))</f>
        <v xml:space="preserve"> </v>
      </c>
      <c r="J68" s="234" t="str">
        <f>IF(Table1[[#This Row],[Column5]]="","",INDEX(Table2[e],IF(Table1[[#This Row],[Column5]]="","",MATCH(Table1[[#This Row],[Column5]],Table2[a],0)),))</f>
        <v/>
      </c>
      <c r="K68" s="234">
        <v>1</v>
      </c>
      <c r="L68" s="234" t="s">
        <v>186</v>
      </c>
      <c r="N68" s="234" t="s">
        <v>294</v>
      </c>
      <c r="O68" s="234" t="str">
        <f>IF(Table1[[#This Row],[h_Item Description]]="","",INDEX([1]!db[NB PAJAK],MATCH(Table1[[#This Row],[h_Item Description]],[1]!db[kode],0)))</f>
        <v>MAP TAS/ DOCUMEN BAG B6 2544 JARING + HANDLE</v>
      </c>
      <c r="P68" s="234" t="s">
        <v>306</v>
      </c>
      <c r="Q68" s="237">
        <v>100000</v>
      </c>
      <c r="R68" s="238"/>
      <c r="S68" s="238"/>
      <c r="T68" s="237">
        <f>Table1[[#This Row],[h_hargasetelahdiskon]]</f>
        <v>100000</v>
      </c>
      <c r="V68" s="234"/>
      <c r="W68" s="234">
        <f ca="1">IF(Table1[[#This Row],[Column12]]="","",IF(Table1[[#This Row],[//]]="",INDIRECT(ADDRESS(ROW()-1,COLUMN())),Table1[[#This Row],[//]]))</f>
        <v>63</v>
      </c>
      <c r="X68" s="234">
        <f ca="1">IF(Table1[[#This Row],[h_id]]="","",COUNTIF(Table1[h_id],Table1[[#This Row],[h_id]]))</f>
        <v>16</v>
      </c>
      <c r="Y68" s="237">
        <f>IF(Table1[[#This Row],[Column12]]="","",Table1[[#This Row],[Qty]]*Table1[[#This Row],[Column13]])</f>
        <v>100000</v>
      </c>
      <c r="Z68" s="237">
        <f>IF(Table1[[#This Row],[h_hargasebelumdiskon]]="","",IF(Table1[[#This Row],[Column14]]="",0,Table1[[#This Row],[h_hargasebelumdiskon]]*Table1[[#This Row],[Column14]]))</f>
        <v>0</v>
      </c>
      <c r="AA68" s="237">
        <f>IF(Table1[[#This Row],[h_hargasebelumdiskon]]="","",IF(Table1[[#This Row],[Column15]]="",0,(Table1[[#This Row],[h_hargasebelumdiskon]]-Table1[[#This Row],[h_disc 1]])*Table1[[#This Row],[Column15]]))</f>
        <v>0</v>
      </c>
      <c r="AB68" s="237">
        <f>IF(Table1[[#This Row],[Column12]]="","",Table1[[#This Row],[h_disc 1]]+Table1[[#This Row],[h_disc 2]])</f>
        <v>0</v>
      </c>
      <c r="AC68" s="237">
        <f>IF(Table1[[#This Row],[Column12]]="","",Table1[[#This Row],[h_hargasebelumdiskon]]-Table1[[#This Row],[h_diskon]])</f>
        <v>100000</v>
      </c>
      <c r="AD68" s="237" t="str">
        <f ca="1">IF(Table1[[#This Row],[//]]="","",SUMIF(Table1[h_id],Table1[[#This Row],[h_id]],Table1[h_hargasetelahdiskon]))</f>
        <v/>
      </c>
      <c r="AF68" s="237" t="str">
        <f>Table1[[#This Row],[Column12]]&amp;Table1[[#This Row],[Unit]]&amp;Table1[[#This Row],[Column13]]</f>
        <v>MAP TAS/ DOCUMEN BAG B6 2544 JARING + HANDLELSN100000</v>
      </c>
      <c r="AG68"/>
      <c r="AH68"/>
      <c r="AI68"/>
    </row>
    <row r="69" spans="1:35">
      <c r="A69" s="234" t="str">
        <f ca="1">IF(Table1[[#This Row],[No. Invoice :]]="","",ROW())</f>
        <v/>
      </c>
      <c r="B69" s="234" t="str">
        <f ca="1">IF(Table1[[#This Row],[Column3]]="","",B$1+COUNT(INDIRECT("B$2:B"&amp;ROW()-1)))</f>
        <v/>
      </c>
      <c r="C69" s="235" t="str">
        <f>IF(Table1[[#This Row],[Column2]]="","",Table1[[#This Row],[Column2]]+C$1-1)</f>
        <v/>
      </c>
      <c r="E69" s="236"/>
      <c r="F69" s="234"/>
      <c r="G69" s="234" t="str">
        <f ca="1">IF(Table1[[#This Row],[h_No. Invoice :]]="","",CONCATENATE("AM"," ",Table1[[#This Row],[h_No. Invoice :]]))</f>
        <v/>
      </c>
      <c r="H69" s="234" t="str">
        <f>IF(Table1[[#This Row],[Column5]]="","",INDEX(Table2[Column1],MATCH(Table1[[#This Row],[Column5]],Table2[a],0)))</f>
        <v/>
      </c>
      <c r="I69" s="234" t="str">
        <f>IF(Table1[[#This Row],[Column3]]=0,"",CONCATENATE(UPPER(Table1[[#This Row],[Column3]])," ",Table1[[#This Row],[Column4]]))</f>
        <v xml:space="preserve"> </v>
      </c>
      <c r="J69" s="234" t="str">
        <f>IF(Table1[[#This Row],[Column5]]="","",INDEX(Table2[e],IF(Table1[[#This Row],[Column5]]="","",MATCH(Table1[[#This Row],[Column5]],Table2[a],0)),))</f>
        <v/>
      </c>
      <c r="K69" s="234">
        <v>1</v>
      </c>
      <c r="L69" s="234" t="s">
        <v>186</v>
      </c>
      <c r="N69" s="234" t="s">
        <v>295</v>
      </c>
      <c r="O69" s="234" t="str">
        <f>IF(Table1[[#This Row],[h_Item Description]]="","",INDEX([1]!db[NB PAJAK],MATCH(Table1[[#This Row],[h_Item Description]],[1]!db[kode],0)))</f>
        <v>MAP TAS/ DOCUMEN BAG B5 T-618 (28 X 21)</v>
      </c>
      <c r="P69" s="234" t="s">
        <v>307</v>
      </c>
      <c r="Q69" s="237">
        <v>55000</v>
      </c>
      <c r="R69" s="238"/>
      <c r="S69" s="238"/>
      <c r="T69" s="237">
        <f>Table1[[#This Row],[h_hargasetelahdiskon]]</f>
        <v>55000</v>
      </c>
      <c r="V69" s="234"/>
      <c r="W69" s="234">
        <f ca="1">IF(Table1[[#This Row],[Column12]]="","",IF(Table1[[#This Row],[//]]="",INDIRECT(ADDRESS(ROW()-1,COLUMN())),Table1[[#This Row],[//]]))</f>
        <v>63</v>
      </c>
      <c r="X69" s="234">
        <f ca="1">IF(Table1[[#This Row],[h_id]]="","",COUNTIF(Table1[h_id],Table1[[#This Row],[h_id]]))</f>
        <v>16</v>
      </c>
      <c r="Y69" s="237">
        <f>IF(Table1[[#This Row],[Column12]]="","",Table1[[#This Row],[Qty]]*Table1[[#This Row],[Column13]])</f>
        <v>55000</v>
      </c>
      <c r="Z69" s="237">
        <f>IF(Table1[[#This Row],[h_hargasebelumdiskon]]="","",IF(Table1[[#This Row],[Column14]]="",0,Table1[[#This Row],[h_hargasebelumdiskon]]*Table1[[#This Row],[Column14]]))</f>
        <v>0</v>
      </c>
      <c r="AA69" s="237">
        <f>IF(Table1[[#This Row],[h_hargasebelumdiskon]]="","",IF(Table1[[#This Row],[Column15]]="",0,(Table1[[#This Row],[h_hargasebelumdiskon]]-Table1[[#This Row],[h_disc 1]])*Table1[[#This Row],[Column15]]))</f>
        <v>0</v>
      </c>
      <c r="AB69" s="237">
        <f>IF(Table1[[#This Row],[Column12]]="","",Table1[[#This Row],[h_disc 1]]+Table1[[#This Row],[h_disc 2]])</f>
        <v>0</v>
      </c>
      <c r="AC69" s="237">
        <f>IF(Table1[[#This Row],[Column12]]="","",Table1[[#This Row],[h_hargasebelumdiskon]]-Table1[[#This Row],[h_diskon]])</f>
        <v>55000</v>
      </c>
      <c r="AD69" s="237" t="str">
        <f ca="1">IF(Table1[[#This Row],[//]]="","",SUMIF(Table1[h_id],Table1[[#This Row],[h_id]],Table1[h_hargasetelahdiskon]))</f>
        <v/>
      </c>
      <c r="AF69" s="237" t="str">
        <f>Table1[[#This Row],[Column12]]&amp;Table1[[#This Row],[Unit]]&amp;Table1[[#This Row],[Column13]]</f>
        <v>MAP TAS/ DOCUMEN BAG B5 T-618 (28 X 21)LSN55000</v>
      </c>
      <c r="AG69"/>
      <c r="AH69"/>
      <c r="AI69"/>
    </row>
    <row r="70" spans="1:35">
      <c r="A70" s="234" t="str">
        <f ca="1">IF(Table1[[#This Row],[No. Invoice :]]="","",ROW())</f>
        <v/>
      </c>
      <c r="B70" s="234" t="str">
        <f ca="1">IF(Table1[[#This Row],[Column3]]="","",B$1+COUNT(INDIRECT("B$2:B"&amp;ROW()-1)))</f>
        <v/>
      </c>
      <c r="C70" s="235" t="str">
        <f>IF(Table1[[#This Row],[Column2]]="","",Table1[[#This Row],[Column2]]+C$1-1)</f>
        <v/>
      </c>
      <c r="E70" s="236"/>
      <c r="F70" s="234"/>
      <c r="G70" s="234" t="str">
        <f ca="1">IF(Table1[[#This Row],[h_No. Invoice :]]="","",CONCATENATE("AM"," ",Table1[[#This Row],[h_No. Invoice :]]))</f>
        <v/>
      </c>
      <c r="H70" s="234" t="str">
        <f>IF(Table1[[#This Row],[Column5]]="","",INDEX(Table2[Column1],MATCH(Table1[[#This Row],[Column5]],Table2[a],0)))</f>
        <v/>
      </c>
      <c r="I70" s="234" t="str">
        <f>IF(Table1[[#This Row],[Column3]]=0,"",CONCATENATE(UPPER(Table1[[#This Row],[Column3]])," ",Table1[[#This Row],[Column4]]))</f>
        <v xml:space="preserve"> </v>
      </c>
      <c r="J70" s="234" t="str">
        <f>IF(Table1[[#This Row],[Column5]]="","",INDEX(Table2[e],IF(Table1[[#This Row],[Column5]]="","",MATCH(Table1[[#This Row],[Column5]],Table2[a],0)),))</f>
        <v/>
      </c>
      <c r="K70" s="234">
        <v>2</v>
      </c>
      <c r="L70" s="234" t="s">
        <v>186</v>
      </c>
      <c r="N70" s="234" t="s">
        <v>296</v>
      </c>
      <c r="O70" s="234" t="str">
        <f>IF(Table1[[#This Row],[h_Item Description]]="","",INDEX([1]!db[NB PAJAK],MATCH(Table1[[#This Row],[h_Item Description]],[1]!db[kode],0)))</f>
        <v>CORRECTION TAPE KENKO CT-634DT (8M x 5MM)</v>
      </c>
      <c r="P70" s="234" t="s">
        <v>308</v>
      </c>
      <c r="Q70" s="237">
        <v>49200</v>
      </c>
      <c r="R70" s="238">
        <v>0.1</v>
      </c>
      <c r="S70" s="238"/>
      <c r="T70" s="237">
        <f>Table1[[#This Row],[h_hargasetelahdiskon]]</f>
        <v>88560</v>
      </c>
      <c r="V70" s="234"/>
      <c r="W70" s="234">
        <f ca="1">IF(Table1[[#This Row],[Column12]]="","",IF(Table1[[#This Row],[//]]="",INDIRECT(ADDRESS(ROW()-1,COLUMN())),Table1[[#This Row],[//]]))</f>
        <v>63</v>
      </c>
      <c r="X70" s="234">
        <f ca="1">IF(Table1[[#This Row],[h_id]]="","",COUNTIF(Table1[h_id],Table1[[#This Row],[h_id]]))</f>
        <v>16</v>
      </c>
      <c r="Y70" s="237">
        <f>IF(Table1[[#This Row],[Column12]]="","",Table1[[#This Row],[Qty]]*Table1[[#This Row],[Column13]])</f>
        <v>98400</v>
      </c>
      <c r="Z70" s="237">
        <f>IF(Table1[[#This Row],[h_hargasebelumdiskon]]="","",IF(Table1[[#This Row],[Column14]]="",0,Table1[[#This Row],[h_hargasebelumdiskon]]*Table1[[#This Row],[Column14]]))</f>
        <v>9840</v>
      </c>
      <c r="AA70" s="237">
        <f>IF(Table1[[#This Row],[h_hargasebelumdiskon]]="","",IF(Table1[[#This Row],[Column15]]="",0,(Table1[[#This Row],[h_hargasebelumdiskon]]-Table1[[#This Row],[h_disc 1]])*Table1[[#This Row],[Column15]]))</f>
        <v>0</v>
      </c>
      <c r="AB70" s="237">
        <f>IF(Table1[[#This Row],[Column12]]="","",Table1[[#This Row],[h_disc 1]]+Table1[[#This Row],[h_disc 2]])</f>
        <v>9840</v>
      </c>
      <c r="AC70" s="237">
        <f>IF(Table1[[#This Row],[Column12]]="","",Table1[[#This Row],[h_hargasebelumdiskon]]-Table1[[#This Row],[h_diskon]])</f>
        <v>88560</v>
      </c>
      <c r="AD70" s="237" t="str">
        <f ca="1">IF(Table1[[#This Row],[//]]="","",SUMIF(Table1[h_id],Table1[[#This Row],[h_id]],Table1[h_hargasetelahdiskon]))</f>
        <v/>
      </c>
      <c r="AF70" s="237" t="str">
        <f>Table1[[#This Row],[Column12]]&amp;Table1[[#This Row],[Unit]]&amp;Table1[[#This Row],[Column13]]</f>
        <v>CORRECTION TAPE KENKO CT-634DT (8M x 5MM)LSN49200</v>
      </c>
      <c r="AG70"/>
      <c r="AH70"/>
      <c r="AI70"/>
    </row>
    <row r="71" spans="1:35">
      <c r="A71" s="234" t="str">
        <f ca="1">IF(Table1[[#This Row],[No. Invoice :]]="","",ROW())</f>
        <v/>
      </c>
      <c r="B71" s="234" t="str">
        <f ca="1">IF(Table1[[#This Row],[Column3]]="","",B$1+COUNT(INDIRECT("B$2:B"&amp;ROW()-1)))</f>
        <v/>
      </c>
      <c r="C71" s="235" t="str">
        <f>IF(Table1[[#This Row],[Column2]]="","",Table1[[#This Row],[Column2]]+C$1-1)</f>
        <v/>
      </c>
      <c r="E71" s="236"/>
      <c r="F71" s="234"/>
      <c r="G71" s="234" t="str">
        <f ca="1">IF(Table1[[#This Row],[h_No. Invoice :]]="","",CONCATENATE("AM"," ",Table1[[#This Row],[h_No. Invoice :]]))</f>
        <v/>
      </c>
      <c r="H71" s="234" t="str">
        <f>IF(Table1[[#This Row],[Column5]]="","",INDEX(Table2[Column1],MATCH(Table1[[#This Row],[Column5]],Table2[a],0)))</f>
        <v/>
      </c>
      <c r="I71" s="234" t="str">
        <f>IF(Table1[[#This Row],[Column3]]=0,"",CONCATENATE(UPPER(Table1[[#This Row],[Column3]])," ",Table1[[#This Row],[Column4]]))</f>
        <v xml:space="preserve"> </v>
      </c>
      <c r="J71" s="234" t="str">
        <f>IF(Table1[[#This Row],[Column5]]="","",INDEX(Table2[e],IF(Table1[[#This Row],[Column5]]="","",MATCH(Table1[[#This Row],[Column5]],Table2[a],0)),))</f>
        <v/>
      </c>
      <c r="K71" s="234">
        <v>2</v>
      </c>
      <c r="L71" s="234" t="s">
        <v>186</v>
      </c>
      <c r="N71" s="234" t="s">
        <v>297</v>
      </c>
      <c r="O71" s="234" t="str">
        <f>IF(Table1[[#This Row],[h_Item Description]]="","",INDEX([1]!db[NB PAJAK],MATCH(Table1[[#This Row],[h_Item Description]],[1]!db[kode],0)))</f>
        <v>CORRECTION TAPE KENKO CT-902CL (12M x 5MM)</v>
      </c>
      <c r="P71" s="234" t="s">
        <v>309</v>
      </c>
      <c r="Q71" s="237">
        <v>54000</v>
      </c>
      <c r="R71" s="238">
        <v>0.1</v>
      </c>
      <c r="S71" s="238"/>
      <c r="T71" s="237">
        <f>Table1[[#This Row],[h_hargasetelahdiskon]]</f>
        <v>97200</v>
      </c>
      <c r="V71" s="234"/>
      <c r="W71" s="234">
        <f ca="1">IF(Table1[[#This Row],[Column12]]="","",IF(Table1[[#This Row],[//]]="",INDIRECT(ADDRESS(ROW()-1,COLUMN())),Table1[[#This Row],[//]]))</f>
        <v>63</v>
      </c>
      <c r="X71" s="234">
        <f ca="1">IF(Table1[[#This Row],[h_id]]="","",COUNTIF(Table1[h_id],Table1[[#This Row],[h_id]]))</f>
        <v>16</v>
      </c>
      <c r="Y71" s="237">
        <f>IF(Table1[[#This Row],[Column12]]="","",Table1[[#This Row],[Qty]]*Table1[[#This Row],[Column13]])</f>
        <v>108000</v>
      </c>
      <c r="Z71" s="237">
        <f>IF(Table1[[#This Row],[h_hargasebelumdiskon]]="","",IF(Table1[[#This Row],[Column14]]="",0,Table1[[#This Row],[h_hargasebelumdiskon]]*Table1[[#This Row],[Column14]]))</f>
        <v>10800</v>
      </c>
      <c r="AA71" s="237">
        <f>IF(Table1[[#This Row],[h_hargasebelumdiskon]]="","",IF(Table1[[#This Row],[Column15]]="",0,(Table1[[#This Row],[h_hargasebelumdiskon]]-Table1[[#This Row],[h_disc 1]])*Table1[[#This Row],[Column15]]))</f>
        <v>0</v>
      </c>
      <c r="AB71" s="237">
        <f>IF(Table1[[#This Row],[Column12]]="","",Table1[[#This Row],[h_disc 1]]+Table1[[#This Row],[h_disc 2]])</f>
        <v>10800</v>
      </c>
      <c r="AC71" s="237">
        <f>IF(Table1[[#This Row],[Column12]]="","",Table1[[#This Row],[h_hargasebelumdiskon]]-Table1[[#This Row],[h_diskon]])</f>
        <v>97200</v>
      </c>
      <c r="AD71" s="237" t="str">
        <f ca="1">IF(Table1[[#This Row],[//]]="","",SUMIF(Table1[h_id],Table1[[#This Row],[h_id]],Table1[h_hargasetelahdiskon]))</f>
        <v/>
      </c>
      <c r="AF71" s="237" t="str">
        <f>Table1[[#This Row],[Column12]]&amp;Table1[[#This Row],[Unit]]&amp;Table1[[#This Row],[Column13]]</f>
        <v>CORRECTION TAPE KENKO CT-902CL (12M x 5MM)LSN54000</v>
      </c>
      <c r="AG71"/>
      <c r="AH71"/>
      <c r="AI71"/>
    </row>
    <row r="72" spans="1:35">
      <c r="A72" s="234" t="str">
        <f ca="1">IF(Table1[[#This Row],[No. Invoice :]]="","",ROW())</f>
        <v/>
      </c>
      <c r="B72" s="234" t="str">
        <f ca="1">IF(Table1[[#This Row],[Column3]]="","",B$1+COUNT(INDIRECT("B$2:B"&amp;ROW()-1)))</f>
        <v/>
      </c>
      <c r="C72" s="235" t="str">
        <f>IF(Table1[[#This Row],[Column2]]="","",Table1[[#This Row],[Column2]]+C$1-1)</f>
        <v/>
      </c>
      <c r="E72" s="236"/>
      <c r="F72" s="234"/>
      <c r="G72" s="234" t="str">
        <f ca="1">IF(Table1[[#This Row],[h_No. Invoice :]]="","",CONCATENATE("AM"," ",Table1[[#This Row],[h_No. Invoice :]]))</f>
        <v/>
      </c>
      <c r="H72" s="234" t="str">
        <f>IF(Table1[[#This Row],[Column5]]="","",INDEX(Table2[Column1],MATCH(Table1[[#This Row],[Column5]],Table2[a],0)))</f>
        <v/>
      </c>
      <c r="I72" s="234" t="str">
        <f>IF(Table1[[#This Row],[Column3]]=0,"",CONCATENATE(UPPER(Table1[[#This Row],[Column3]])," ",Table1[[#This Row],[Column4]]))</f>
        <v xml:space="preserve"> </v>
      </c>
      <c r="J72" s="234" t="str">
        <f>IF(Table1[[#This Row],[Column5]]="","",INDEX(Table2[e],IF(Table1[[#This Row],[Column5]]="","",MATCH(Table1[[#This Row],[Column5]],Table2[a],0)),))</f>
        <v/>
      </c>
      <c r="K72" s="234">
        <v>12</v>
      </c>
      <c r="L72" s="234" t="s">
        <v>186</v>
      </c>
      <c r="N72" s="234" t="s">
        <v>298</v>
      </c>
      <c r="O72" s="234" t="str">
        <f>IF(Table1[[#This Row],[h_Item Description]]="","",INDEX([1]!db[NB PAJAK],MATCH(Table1[[#This Row],[h_Item Description]],[1]!db[kode],0)))</f>
        <v>CORRECTION FLUID KENKO KE-107M</v>
      </c>
      <c r="P72" s="234" t="s">
        <v>310</v>
      </c>
      <c r="Q72" s="237">
        <v>57600</v>
      </c>
      <c r="R72" s="238">
        <v>0.1</v>
      </c>
      <c r="S72" s="238"/>
      <c r="T72" s="237">
        <f>Table1[[#This Row],[h_hargasetelahdiskon]]</f>
        <v>622080</v>
      </c>
      <c r="V72" s="234"/>
      <c r="W72" s="234">
        <f ca="1">IF(Table1[[#This Row],[Column12]]="","",IF(Table1[[#This Row],[//]]="",INDIRECT(ADDRESS(ROW()-1,COLUMN())),Table1[[#This Row],[//]]))</f>
        <v>63</v>
      </c>
      <c r="X72" s="234">
        <f ca="1">IF(Table1[[#This Row],[h_id]]="","",COUNTIF(Table1[h_id],Table1[[#This Row],[h_id]]))</f>
        <v>16</v>
      </c>
      <c r="Y72" s="237">
        <f>IF(Table1[[#This Row],[Column12]]="","",Table1[[#This Row],[Qty]]*Table1[[#This Row],[Column13]])</f>
        <v>691200</v>
      </c>
      <c r="Z72" s="237">
        <f>IF(Table1[[#This Row],[h_hargasebelumdiskon]]="","",IF(Table1[[#This Row],[Column14]]="",0,Table1[[#This Row],[h_hargasebelumdiskon]]*Table1[[#This Row],[Column14]]))</f>
        <v>69120</v>
      </c>
      <c r="AA72" s="237">
        <f>IF(Table1[[#This Row],[h_hargasebelumdiskon]]="","",IF(Table1[[#This Row],[Column15]]="",0,(Table1[[#This Row],[h_hargasebelumdiskon]]-Table1[[#This Row],[h_disc 1]])*Table1[[#This Row],[Column15]]))</f>
        <v>0</v>
      </c>
      <c r="AB72" s="237">
        <f>IF(Table1[[#This Row],[Column12]]="","",Table1[[#This Row],[h_disc 1]]+Table1[[#This Row],[h_disc 2]])</f>
        <v>69120</v>
      </c>
      <c r="AC72" s="237">
        <f>IF(Table1[[#This Row],[Column12]]="","",Table1[[#This Row],[h_hargasebelumdiskon]]-Table1[[#This Row],[h_diskon]])</f>
        <v>622080</v>
      </c>
      <c r="AD72" s="237" t="str">
        <f ca="1">IF(Table1[[#This Row],[//]]="","",SUMIF(Table1[h_id],Table1[[#This Row],[h_id]],Table1[h_hargasetelahdiskon]))</f>
        <v/>
      </c>
      <c r="AF72" s="237" t="str">
        <f>Table1[[#This Row],[Column12]]&amp;Table1[[#This Row],[Unit]]&amp;Table1[[#This Row],[Column13]]</f>
        <v>CORRECTION FLUID KENKO KE-107MLSN57600</v>
      </c>
      <c r="AG72"/>
      <c r="AH72"/>
      <c r="AI72"/>
    </row>
    <row r="73" spans="1:35">
      <c r="A73" s="234" t="str">
        <f ca="1">IF(Table1[[#This Row],[No. Invoice :]]="","",ROW())</f>
        <v/>
      </c>
      <c r="B73" s="234" t="str">
        <f ca="1">IF(Table1[[#This Row],[Column3]]="","",B$1+COUNT(INDIRECT("B$2:B"&amp;ROW()-1)))</f>
        <v/>
      </c>
      <c r="C73" s="235" t="str">
        <f>IF(Table1[[#This Row],[Column2]]="","",Table1[[#This Row],[Column2]]+C$1-1)</f>
        <v/>
      </c>
      <c r="E73" s="236"/>
      <c r="F73" s="234"/>
      <c r="G73" s="234" t="str">
        <f ca="1">IF(Table1[[#This Row],[h_No. Invoice :]]="","",CONCATENATE("AM"," ",Table1[[#This Row],[h_No. Invoice :]]))</f>
        <v/>
      </c>
      <c r="H73" s="234" t="str">
        <f>IF(Table1[[#This Row],[Column5]]="","",INDEX(Table2[Column1],MATCH(Table1[[#This Row],[Column5]],Table2[a],0)))</f>
        <v/>
      </c>
      <c r="I73" s="234" t="str">
        <f>IF(Table1[[#This Row],[Column3]]=0,"",CONCATENATE(UPPER(Table1[[#This Row],[Column3]])," ",Table1[[#This Row],[Column4]]))</f>
        <v xml:space="preserve"> </v>
      </c>
      <c r="J73" s="234" t="str">
        <f>IF(Table1[[#This Row],[Column5]]="","",INDEX(Table2[e],IF(Table1[[#This Row],[Column5]]="","",MATCH(Table1[[#This Row],[Column5]],Table2[a],0)),))</f>
        <v/>
      </c>
      <c r="K73" s="234">
        <v>1</v>
      </c>
      <c r="L73" s="234" t="s">
        <v>186</v>
      </c>
      <c r="N73" s="234" t="s">
        <v>299</v>
      </c>
      <c r="O73" s="234" t="str">
        <f>IF(Table1[[#This Row],[h_Item Description]]="","",INDEX([1]!db[NB PAJAK],MATCH(Table1[[#This Row],[h_Item Description]],[1]!db[kode],0)))</f>
        <v>PENSIL WARNA JOYKO CP-S24 MINI (PENDEK)</v>
      </c>
      <c r="P73" s="234" t="s">
        <v>311</v>
      </c>
      <c r="Q73" s="237">
        <v>165600</v>
      </c>
      <c r="R73" s="238">
        <v>0.1</v>
      </c>
      <c r="S73" s="238"/>
      <c r="T73" s="237">
        <f>Table1[[#This Row],[h_hargasetelahdiskon]]</f>
        <v>149040</v>
      </c>
      <c r="V73" s="234"/>
      <c r="W73" s="234">
        <f ca="1">IF(Table1[[#This Row],[Column12]]="","",IF(Table1[[#This Row],[//]]="",INDIRECT(ADDRESS(ROW()-1,COLUMN())),Table1[[#This Row],[//]]))</f>
        <v>63</v>
      </c>
      <c r="X73" s="234">
        <f ca="1">IF(Table1[[#This Row],[h_id]]="","",COUNTIF(Table1[h_id],Table1[[#This Row],[h_id]]))</f>
        <v>16</v>
      </c>
      <c r="Y73" s="237">
        <f>IF(Table1[[#This Row],[Column12]]="","",Table1[[#This Row],[Qty]]*Table1[[#This Row],[Column13]])</f>
        <v>165600</v>
      </c>
      <c r="Z73" s="237">
        <f>IF(Table1[[#This Row],[h_hargasebelumdiskon]]="","",IF(Table1[[#This Row],[Column14]]="",0,Table1[[#This Row],[h_hargasebelumdiskon]]*Table1[[#This Row],[Column14]]))</f>
        <v>16560</v>
      </c>
      <c r="AA73" s="237">
        <f>IF(Table1[[#This Row],[h_hargasebelumdiskon]]="","",IF(Table1[[#This Row],[Column15]]="",0,(Table1[[#This Row],[h_hargasebelumdiskon]]-Table1[[#This Row],[h_disc 1]])*Table1[[#This Row],[Column15]]))</f>
        <v>0</v>
      </c>
      <c r="AB73" s="237">
        <f>IF(Table1[[#This Row],[Column12]]="","",Table1[[#This Row],[h_disc 1]]+Table1[[#This Row],[h_disc 2]])</f>
        <v>16560</v>
      </c>
      <c r="AC73" s="237">
        <f>IF(Table1[[#This Row],[Column12]]="","",Table1[[#This Row],[h_hargasebelumdiskon]]-Table1[[#This Row],[h_diskon]])</f>
        <v>149040</v>
      </c>
      <c r="AD73" s="237" t="str">
        <f ca="1">IF(Table1[[#This Row],[//]]="","",SUMIF(Table1[h_id],Table1[[#This Row],[h_id]],Table1[h_hargasetelahdiskon]))</f>
        <v/>
      </c>
      <c r="AF73" s="237" t="str">
        <f>Table1[[#This Row],[Column12]]&amp;Table1[[#This Row],[Unit]]&amp;Table1[[#This Row],[Column13]]</f>
        <v>PENSIL WARNA JOYKO CP-S24 MINI (PENDEK)LSN165600</v>
      </c>
      <c r="AG73"/>
      <c r="AH73"/>
      <c r="AI73"/>
    </row>
    <row r="74" spans="1:35">
      <c r="A74" s="234" t="str">
        <f ca="1">IF(Table1[[#This Row],[No. Invoice :]]="","",ROW())</f>
        <v/>
      </c>
      <c r="B74" s="234" t="str">
        <f ca="1">IF(Table1[[#This Row],[Column3]]="","",B$1+COUNT(INDIRECT("B$2:B"&amp;ROW()-1)))</f>
        <v/>
      </c>
      <c r="C74" s="235" t="str">
        <f>IF(Table1[[#This Row],[Column2]]="","",Table1[[#This Row],[Column2]]+C$1-1)</f>
        <v/>
      </c>
      <c r="E74" s="236"/>
      <c r="F74" s="234"/>
      <c r="G74" s="234" t="str">
        <f ca="1">IF(Table1[[#This Row],[h_No. Invoice :]]="","",CONCATENATE("AM"," ",Table1[[#This Row],[h_No. Invoice :]]))</f>
        <v/>
      </c>
      <c r="H74" s="234" t="str">
        <f>IF(Table1[[#This Row],[Column5]]="","",INDEX(Table2[Column1],MATCH(Table1[[#This Row],[Column5]],Table2[a],0)))</f>
        <v/>
      </c>
      <c r="I74" s="234" t="str">
        <f>IF(Table1[[#This Row],[Column3]]=0,"",CONCATENATE(UPPER(Table1[[#This Row],[Column3]])," ",Table1[[#This Row],[Column4]]))</f>
        <v xml:space="preserve"> </v>
      </c>
      <c r="J74" s="234" t="str">
        <f>IF(Table1[[#This Row],[Column5]]="","",INDEX(Table2[e],IF(Table1[[#This Row],[Column5]]="","",MATCH(Table1[[#This Row],[Column5]],Table2[a],0)),))</f>
        <v/>
      </c>
      <c r="K74" s="234">
        <v>2</v>
      </c>
      <c r="L74" s="234" t="s">
        <v>186</v>
      </c>
      <c r="N74" s="234" t="s">
        <v>303</v>
      </c>
      <c r="O74" s="234" t="str">
        <f>IF(Table1[[#This Row],[h_Item Description]]="","",INDEX([1]!db[NB PAJAK],MATCH(Table1[[#This Row],[h_Item Description]],[1]!db[kode],0)))</f>
        <v>PENSIL WARNA KALENG KENKO CP-12F TIN CASE CLASSIC</v>
      </c>
      <c r="P74" s="234" t="s">
        <v>312</v>
      </c>
      <c r="Q74" s="237">
        <v>204000</v>
      </c>
      <c r="R74" s="238">
        <v>0.1</v>
      </c>
      <c r="S74" s="238"/>
      <c r="T74" s="237">
        <f>Table1[[#This Row],[h_hargasetelahdiskon]]</f>
        <v>367200</v>
      </c>
      <c r="V74" s="234"/>
      <c r="W74" s="234">
        <f ca="1">IF(Table1[[#This Row],[Column12]]="","",IF(Table1[[#This Row],[//]]="",INDIRECT(ADDRESS(ROW()-1,COLUMN())),Table1[[#This Row],[//]]))</f>
        <v>63</v>
      </c>
      <c r="X74" s="234">
        <f ca="1">IF(Table1[[#This Row],[h_id]]="","",COUNTIF(Table1[h_id],Table1[[#This Row],[h_id]]))</f>
        <v>16</v>
      </c>
      <c r="Y74" s="237">
        <f>IF(Table1[[#This Row],[Column12]]="","",Table1[[#This Row],[Qty]]*Table1[[#This Row],[Column13]])</f>
        <v>408000</v>
      </c>
      <c r="Z74" s="237">
        <f>IF(Table1[[#This Row],[h_hargasebelumdiskon]]="","",IF(Table1[[#This Row],[Column14]]="",0,Table1[[#This Row],[h_hargasebelumdiskon]]*Table1[[#This Row],[Column14]]))</f>
        <v>40800</v>
      </c>
      <c r="AA74" s="237">
        <f>IF(Table1[[#This Row],[h_hargasebelumdiskon]]="","",IF(Table1[[#This Row],[Column15]]="",0,(Table1[[#This Row],[h_hargasebelumdiskon]]-Table1[[#This Row],[h_disc 1]])*Table1[[#This Row],[Column15]]))</f>
        <v>0</v>
      </c>
      <c r="AB74" s="237">
        <f>IF(Table1[[#This Row],[Column12]]="","",Table1[[#This Row],[h_disc 1]]+Table1[[#This Row],[h_disc 2]])</f>
        <v>40800</v>
      </c>
      <c r="AC74" s="237">
        <f>IF(Table1[[#This Row],[Column12]]="","",Table1[[#This Row],[h_hargasebelumdiskon]]-Table1[[#This Row],[h_diskon]])</f>
        <v>367200</v>
      </c>
      <c r="AD74" s="237" t="str">
        <f ca="1">IF(Table1[[#This Row],[//]]="","",SUMIF(Table1[h_id],Table1[[#This Row],[h_id]],Table1[h_hargasetelahdiskon]))</f>
        <v/>
      </c>
      <c r="AF74" s="237" t="str">
        <f>Table1[[#This Row],[Column12]]&amp;Table1[[#This Row],[Unit]]&amp;Table1[[#This Row],[Column13]]</f>
        <v>PENSIL WARNA KALENG KENKO CP-12F TIN CASE CLASSICLSN204000</v>
      </c>
      <c r="AG74"/>
      <c r="AH74"/>
      <c r="AI74"/>
    </row>
    <row r="75" spans="1:35">
      <c r="A75" s="234" t="str">
        <f ca="1">IF(Table1[[#This Row],[No. Invoice :]]="","",ROW())</f>
        <v/>
      </c>
      <c r="B75" s="234" t="str">
        <f ca="1">IF(Table1[[#This Row],[Column3]]="","",B$1+COUNT(INDIRECT("B$2:B"&amp;ROW()-1)))</f>
        <v/>
      </c>
      <c r="C75" s="235" t="str">
        <f>IF(Table1[[#This Row],[Column2]]="","",Table1[[#This Row],[Column2]]+C$1-1)</f>
        <v/>
      </c>
      <c r="E75" s="236"/>
      <c r="F75" s="234"/>
      <c r="G75" s="234" t="str">
        <f ca="1">IF(Table1[[#This Row],[h_No. Invoice :]]="","",CONCATENATE("AM"," ",Table1[[#This Row],[h_No. Invoice :]]))</f>
        <v/>
      </c>
      <c r="H75" s="234" t="str">
        <f>IF(Table1[[#This Row],[Column5]]="","",INDEX(Table2[Column1],MATCH(Table1[[#This Row],[Column5]],Table2[a],0)))</f>
        <v/>
      </c>
      <c r="I75" s="234" t="str">
        <f>IF(Table1[[#This Row],[Column3]]=0,"",CONCATENATE(UPPER(Table1[[#This Row],[Column3]])," ",Table1[[#This Row],[Column4]]))</f>
        <v xml:space="preserve"> </v>
      </c>
      <c r="J75" s="234" t="str">
        <f>IF(Table1[[#This Row],[Column5]]="","",INDEX(Table2[e],IF(Table1[[#This Row],[Column5]]="","",MATCH(Table1[[#This Row],[Column5]],Table2[a],0)),))</f>
        <v/>
      </c>
      <c r="K75" s="234">
        <v>12</v>
      </c>
      <c r="L75" s="234" t="s">
        <v>186</v>
      </c>
      <c r="N75" s="234" t="s">
        <v>300</v>
      </c>
      <c r="O75" s="234" t="str">
        <f>IF(Table1[[#This Row],[h_Item Description]]="","",INDEX([1]!db[NB PAJAK],MATCH(Table1[[#This Row],[h_Item Description]],[1]!db[kode],0)))</f>
        <v>PENSIL WARNA KENKO CP-12F CLASSIC (PANJANG)</v>
      </c>
      <c r="P75" s="234" t="s">
        <v>313</v>
      </c>
      <c r="Q75" s="237">
        <v>124200</v>
      </c>
      <c r="R75" s="238">
        <v>0.1</v>
      </c>
      <c r="S75" s="238"/>
      <c r="T75" s="237">
        <f>Table1[[#This Row],[h_hargasetelahdiskon]]</f>
        <v>1341360</v>
      </c>
      <c r="V75" s="234"/>
      <c r="W75" s="234">
        <f ca="1">IF(Table1[[#This Row],[Column12]]="","",IF(Table1[[#This Row],[//]]="",INDIRECT(ADDRESS(ROW()-1,COLUMN())),Table1[[#This Row],[//]]))</f>
        <v>63</v>
      </c>
      <c r="X75" s="234">
        <f ca="1">IF(Table1[[#This Row],[h_id]]="","",COUNTIF(Table1[h_id],Table1[[#This Row],[h_id]]))</f>
        <v>16</v>
      </c>
      <c r="Y75" s="237">
        <f>IF(Table1[[#This Row],[Column12]]="","",Table1[[#This Row],[Qty]]*Table1[[#This Row],[Column13]])</f>
        <v>1490400</v>
      </c>
      <c r="Z75" s="237">
        <f>IF(Table1[[#This Row],[h_hargasebelumdiskon]]="","",IF(Table1[[#This Row],[Column14]]="",0,Table1[[#This Row],[h_hargasebelumdiskon]]*Table1[[#This Row],[Column14]]))</f>
        <v>149040</v>
      </c>
      <c r="AA75" s="237">
        <f>IF(Table1[[#This Row],[h_hargasebelumdiskon]]="","",IF(Table1[[#This Row],[Column15]]="",0,(Table1[[#This Row],[h_hargasebelumdiskon]]-Table1[[#This Row],[h_disc 1]])*Table1[[#This Row],[Column15]]))</f>
        <v>0</v>
      </c>
      <c r="AB75" s="237">
        <f>IF(Table1[[#This Row],[Column12]]="","",Table1[[#This Row],[h_disc 1]]+Table1[[#This Row],[h_disc 2]])</f>
        <v>149040</v>
      </c>
      <c r="AC75" s="237">
        <f>IF(Table1[[#This Row],[Column12]]="","",Table1[[#This Row],[h_hargasebelumdiskon]]-Table1[[#This Row],[h_diskon]])</f>
        <v>1341360</v>
      </c>
      <c r="AD75" s="237" t="str">
        <f ca="1">IF(Table1[[#This Row],[//]]="","",SUMIF(Table1[h_id],Table1[[#This Row],[h_id]],Table1[h_hargasetelahdiskon]))</f>
        <v/>
      </c>
      <c r="AF75" s="237" t="str">
        <f>Table1[[#This Row],[Column12]]&amp;Table1[[#This Row],[Unit]]&amp;Table1[[#This Row],[Column13]]</f>
        <v>PENSIL WARNA KENKO CP-12F CLASSIC (PANJANG)LSN124200</v>
      </c>
      <c r="AG75"/>
      <c r="AH75"/>
      <c r="AI75"/>
    </row>
    <row r="76" spans="1:35">
      <c r="A76" s="234" t="str">
        <f ca="1">IF(Table1[[#This Row],[No. Invoice :]]="","",ROW())</f>
        <v/>
      </c>
      <c r="B76" s="234" t="str">
        <f ca="1">IF(Table1[[#This Row],[Column3]]="","",B$1+COUNT(INDIRECT("B$2:B"&amp;ROW()-1)))</f>
        <v/>
      </c>
      <c r="C76" s="235" t="str">
        <f>IF(Table1[[#This Row],[Column2]]="","",Table1[[#This Row],[Column2]]+C$1-1)</f>
        <v/>
      </c>
      <c r="E76" s="236"/>
      <c r="F76" s="234"/>
      <c r="G76" s="234" t="str">
        <f ca="1">IF(Table1[[#This Row],[h_No. Invoice :]]="","",CONCATENATE("AM"," ",Table1[[#This Row],[h_No. Invoice :]]))</f>
        <v/>
      </c>
      <c r="H76" s="234" t="str">
        <f>IF(Table1[[#This Row],[Column5]]="","",INDEX(Table2[Column1],MATCH(Table1[[#This Row],[Column5]],Table2[a],0)))</f>
        <v/>
      </c>
      <c r="I76" s="234" t="str">
        <f>IF(Table1[[#This Row],[Column3]]=0,"",CONCATENATE(UPPER(Table1[[#This Row],[Column3]])," ",Table1[[#This Row],[Column4]]))</f>
        <v xml:space="preserve"> </v>
      </c>
      <c r="J76" s="234" t="str">
        <f>IF(Table1[[#This Row],[Column5]]="","",INDEX(Table2[e],IF(Table1[[#This Row],[Column5]]="","",MATCH(Table1[[#This Row],[Column5]],Table2[a],0)),))</f>
        <v/>
      </c>
      <c r="K76" s="234">
        <v>12</v>
      </c>
      <c r="L76" s="234" t="s">
        <v>186</v>
      </c>
      <c r="N76" s="234" t="s">
        <v>301</v>
      </c>
      <c r="O76" s="234" t="str">
        <f>IF(Table1[[#This Row],[h_Item Description]]="","",INDEX([1]!db[NB PAJAK],MATCH(Table1[[#This Row],[h_Item Description]],[1]!db[kode],0)))</f>
        <v>PENSIL WARNA KENKO CP-12HALF CLASSIC (PENDEK)</v>
      </c>
      <c r="P76" s="234" t="s">
        <v>314</v>
      </c>
      <c r="Q76" s="237">
        <v>79200</v>
      </c>
      <c r="R76" s="238">
        <v>0.1</v>
      </c>
      <c r="S76" s="238"/>
      <c r="T76" s="237">
        <f>Table1[[#This Row],[h_hargasetelahdiskon]]</f>
        <v>855360</v>
      </c>
      <c r="V76" s="234"/>
      <c r="W76" s="234">
        <f ca="1">IF(Table1[[#This Row],[Column12]]="","",IF(Table1[[#This Row],[//]]="",INDIRECT(ADDRESS(ROW()-1,COLUMN())),Table1[[#This Row],[//]]))</f>
        <v>63</v>
      </c>
      <c r="X76" s="234">
        <f ca="1">IF(Table1[[#This Row],[h_id]]="","",COUNTIF(Table1[h_id],Table1[[#This Row],[h_id]]))</f>
        <v>16</v>
      </c>
      <c r="Y76" s="237">
        <f>IF(Table1[[#This Row],[Column12]]="","",Table1[[#This Row],[Qty]]*Table1[[#This Row],[Column13]])</f>
        <v>950400</v>
      </c>
      <c r="Z76" s="237">
        <f>IF(Table1[[#This Row],[h_hargasebelumdiskon]]="","",IF(Table1[[#This Row],[Column14]]="",0,Table1[[#This Row],[h_hargasebelumdiskon]]*Table1[[#This Row],[Column14]]))</f>
        <v>95040</v>
      </c>
      <c r="AA76" s="237">
        <f>IF(Table1[[#This Row],[h_hargasebelumdiskon]]="","",IF(Table1[[#This Row],[Column15]]="",0,(Table1[[#This Row],[h_hargasebelumdiskon]]-Table1[[#This Row],[h_disc 1]])*Table1[[#This Row],[Column15]]))</f>
        <v>0</v>
      </c>
      <c r="AB76" s="237">
        <f>IF(Table1[[#This Row],[Column12]]="","",Table1[[#This Row],[h_disc 1]]+Table1[[#This Row],[h_disc 2]])</f>
        <v>95040</v>
      </c>
      <c r="AC76" s="237">
        <f>IF(Table1[[#This Row],[Column12]]="","",Table1[[#This Row],[h_hargasebelumdiskon]]-Table1[[#This Row],[h_diskon]])</f>
        <v>855360</v>
      </c>
      <c r="AD76" s="237" t="str">
        <f ca="1">IF(Table1[[#This Row],[//]]="","",SUMIF(Table1[h_id],Table1[[#This Row],[h_id]],Table1[h_hargasetelahdiskon]))</f>
        <v/>
      </c>
      <c r="AF76" s="237" t="str">
        <f>Table1[[#This Row],[Column12]]&amp;Table1[[#This Row],[Unit]]&amp;Table1[[#This Row],[Column13]]</f>
        <v>PENSIL WARNA KENKO CP-12HALF CLASSIC (PENDEK)LSN79200</v>
      </c>
      <c r="AG76"/>
      <c r="AH76"/>
      <c r="AI76"/>
    </row>
    <row r="77" spans="1:35">
      <c r="A77" s="234" t="str">
        <f ca="1">IF(Table1[[#This Row],[No. Invoice :]]="","",ROW())</f>
        <v/>
      </c>
      <c r="B77" s="234" t="str">
        <f ca="1">IF(Table1[[#This Row],[Column3]]="","",B$1+COUNT(INDIRECT("B$2:B"&amp;ROW()-1)))</f>
        <v/>
      </c>
      <c r="C77" s="235" t="str">
        <f>IF(Table1[[#This Row],[Column2]]="","",Table1[[#This Row],[Column2]]+C$1-1)</f>
        <v/>
      </c>
      <c r="E77" s="236"/>
      <c r="F77" s="234"/>
      <c r="G77" s="234" t="str">
        <f ca="1">IF(Table1[[#This Row],[h_No. Invoice :]]="","",CONCATENATE("AM"," ",Table1[[#This Row],[h_No. Invoice :]]))</f>
        <v/>
      </c>
      <c r="H77" s="234" t="str">
        <f>IF(Table1[[#This Row],[Column5]]="","",INDEX(Table2[Column1],MATCH(Table1[[#This Row],[Column5]],Table2[a],0)))</f>
        <v/>
      </c>
      <c r="I77" s="234" t="str">
        <f>IF(Table1[[#This Row],[Column3]]=0,"",CONCATENATE(UPPER(Table1[[#This Row],[Column3]])," ",Table1[[#This Row],[Column4]]))</f>
        <v xml:space="preserve"> </v>
      </c>
      <c r="J77" s="234" t="str">
        <f>IF(Table1[[#This Row],[Column5]]="","",INDEX(Table2[e],IF(Table1[[#This Row],[Column5]]="","",MATCH(Table1[[#This Row],[Column5]],Table2[a],0)),))</f>
        <v/>
      </c>
      <c r="K77" s="234">
        <v>2</v>
      </c>
      <c r="L77" s="234" t="s">
        <v>186</v>
      </c>
      <c r="N77" s="234" t="s">
        <v>304</v>
      </c>
      <c r="O77" s="234" t="str">
        <f>IF(Table1[[#This Row],[h_Item Description]]="","",INDEX([1]!db[NB PAJAK],MATCH(Table1[[#This Row],[h_Item Description]],[1]!db[kode],0)))</f>
        <v>PENSIL WARNA KENKO BI-COLOR CP-12FBC (12/24) CLASSIC</v>
      </c>
      <c r="P77" s="234" t="s">
        <v>315</v>
      </c>
      <c r="Q77" s="237">
        <v>148800</v>
      </c>
      <c r="R77" s="238">
        <v>0.1</v>
      </c>
      <c r="S77" s="238"/>
      <c r="T77" s="237">
        <f>Table1[[#This Row],[h_hargasetelahdiskon]]</f>
        <v>267840</v>
      </c>
      <c r="V77" s="234"/>
      <c r="W77" s="234">
        <f ca="1">IF(Table1[[#This Row],[Column12]]="","",IF(Table1[[#This Row],[//]]="",INDIRECT(ADDRESS(ROW()-1,COLUMN())),Table1[[#This Row],[//]]))</f>
        <v>63</v>
      </c>
      <c r="X77" s="234">
        <f ca="1">IF(Table1[[#This Row],[h_id]]="","",COUNTIF(Table1[h_id],Table1[[#This Row],[h_id]]))</f>
        <v>16</v>
      </c>
      <c r="Y77" s="237">
        <f>IF(Table1[[#This Row],[Column12]]="","",Table1[[#This Row],[Qty]]*Table1[[#This Row],[Column13]])</f>
        <v>297600</v>
      </c>
      <c r="Z77" s="237">
        <f>IF(Table1[[#This Row],[h_hargasebelumdiskon]]="","",IF(Table1[[#This Row],[Column14]]="",0,Table1[[#This Row],[h_hargasebelumdiskon]]*Table1[[#This Row],[Column14]]))</f>
        <v>29760</v>
      </c>
      <c r="AA77" s="237">
        <f>IF(Table1[[#This Row],[h_hargasebelumdiskon]]="","",IF(Table1[[#This Row],[Column15]]="",0,(Table1[[#This Row],[h_hargasebelumdiskon]]-Table1[[#This Row],[h_disc 1]])*Table1[[#This Row],[Column15]]))</f>
        <v>0</v>
      </c>
      <c r="AB77" s="237">
        <f>IF(Table1[[#This Row],[Column12]]="","",Table1[[#This Row],[h_disc 1]]+Table1[[#This Row],[h_disc 2]])</f>
        <v>29760</v>
      </c>
      <c r="AC77" s="237">
        <f>IF(Table1[[#This Row],[Column12]]="","",Table1[[#This Row],[h_hargasebelumdiskon]]-Table1[[#This Row],[h_diskon]])</f>
        <v>267840</v>
      </c>
      <c r="AD77" s="237" t="str">
        <f ca="1">IF(Table1[[#This Row],[//]]="","",SUMIF(Table1[h_id],Table1[[#This Row],[h_id]],Table1[h_hargasetelahdiskon]))</f>
        <v/>
      </c>
      <c r="AF77" s="237" t="str">
        <f>Table1[[#This Row],[Column12]]&amp;Table1[[#This Row],[Unit]]&amp;Table1[[#This Row],[Column13]]</f>
        <v>PENSIL WARNA KENKO BI-COLOR CP-12FBC (12/24) CLASSICLSN148800</v>
      </c>
      <c r="AG77"/>
      <c r="AH77"/>
      <c r="AI77"/>
    </row>
    <row r="78" spans="1:35">
      <c r="A78" s="234" t="str">
        <f ca="1">IF(Table1[[#This Row],[No. Invoice :]]="","",ROW())</f>
        <v/>
      </c>
      <c r="B78" s="234" t="str">
        <f ca="1">IF(Table1[[#This Row],[Column3]]="","",B$1+COUNT(INDIRECT("B$2:B"&amp;ROW()-1)))</f>
        <v/>
      </c>
      <c r="C78" s="235" t="str">
        <f>IF(Table1[[#This Row],[Column2]]="","",Table1[[#This Row],[Column2]]+C$1-1)</f>
        <v/>
      </c>
      <c r="E78" s="236"/>
      <c r="F78" s="234"/>
      <c r="G78" s="234" t="str">
        <f ca="1">IF(Table1[[#This Row],[h_No. Invoice :]]="","",CONCATENATE("AM"," ",Table1[[#This Row],[h_No. Invoice :]]))</f>
        <v/>
      </c>
      <c r="H78" s="234" t="str">
        <f>IF(Table1[[#This Row],[Column5]]="","",INDEX(Table2[Column1],MATCH(Table1[[#This Row],[Column5]],Table2[a],0)))</f>
        <v/>
      </c>
      <c r="I78" s="234" t="str">
        <f>IF(Table1[[#This Row],[Column3]]=0,"",CONCATENATE(UPPER(Table1[[#This Row],[Column3]])," ",Table1[[#This Row],[Column4]]))</f>
        <v xml:space="preserve"> </v>
      </c>
      <c r="J78" s="234" t="str">
        <f>IF(Table1[[#This Row],[Column5]]="","",INDEX(Table2[e],IF(Table1[[#This Row],[Column5]]="","",MATCH(Table1[[#This Row],[Column5]],Table2[a],0)),))</f>
        <v/>
      </c>
      <c r="K78" s="234">
        <v>3</v>
      </c>
      <c r="L78" s="234" t="s">
        <v>186</v>
      </c>
      <c r="N78" s="234" t="s">
        <v>302</v>
      </c>
      <c r="O78" s="234" t="str">
        <f>IF(Table1[[#This Row],[h_Item Description]]="","",INDEX([1]!db[NB PAJAK],MATCH(Table1[[#This Row],[h_Item Description]],[1]!db[kode],0)))</f>
        <v>PENSIL WARNA JOYKO CP-107 (12W)</v>
      </c>
      <c r="P78" s="234" t="s">
        <v>316</v>
      </c>
      <c r="Q78" s="237">
        <v>64800</v>
      </c>
      <c r="R78" s="238">
        <v>0.1</v>
      </c>
      <c r="S78" s="238"/>
      <c r="T78" s="237">
        <f>Table1[[#This Row],[h_hargasetelahdiskon]]</f>
        <v>174960</v>
      </c>
      <c r="V78" s="234"/>
      <c r="W78" s="234">
        <f ca="1">IF(Table1[[#This Row],[Column12]]="","",IF(Table1[[#This Row],[//]]="",INDIRECT(ADDRESS(ROW()-1,COLUMN())),Table1[[#This Row],[//]]))</f>
        <v>63</v>
      </c>
      <c r="X78" s="234">
        <f ca="1">IF(Table1[[#This Row],[h_id]]="","",COUNTIF(Table1[h_id],Table1[[#This Row],[h_id]]))</f>
        <v>16</v>
      </c>
      <c r="Y78" s="237">
        <f>IF(Table1[[#This Row],[Column12]]="","",Table1[[#This Row],[Qty]]*Table1[[#This Row],[Column13]])</f>
        <v>194400</v>
      </c>
      <c r="Z78" s="237">
        <f>IF(Table1[[#This Row],[h_hargasebelumdiskon]]="","",IF(Table1[[#This Row],[Column14]]="",0,Table1[[#This Row],[h_hargasebelumdiskon]]*Table1[[#This Row],[Column14]]))</f>
        <v>19440</v>
      </c>
      <c r="AA78" s="237">
        <f>IF(Table1[[#This Row],[h_hargasebelumdiskon]]="","",IF(Table1[[#This Row],[Column15]]="",0,(Table1[[#This Row],[h_hargasebelumdiskon]]-Table1[[#This Row],[h_disc 1]])*Table1[[#This Row],[Column15]]))</f>
        <v>0</v>
      </c>
      <c r="AB78" s="237">
        <f>IF(Table1[[#This Row],[Column12]]="","",Table1[[#This Row],[h_disc 1]]+Table1[[#This Row],[h_disc 2]])</f>
        <v>19440</v>
      </c>
      <c r="AC78" s="237">
        <f>IF(Table1[[#This Row],[Column12]]="","",Table1[[#This Row],[h_hargasebelumdiskon]]-Table1[[#This Row],[h_diskon]])</f>
        <v>174960</v>
      </c>
      <c r="AD78" s="237" t="str">
        <f ca="1">IF(Table1[[#This Row],[//]]="","",SUMIF(Table1[h_id],Table1[[#This Row],[h_id]],Table1[h_hargasetelahdiskon]))</f>
        <v/>
      </c>
      <c r="AF78" s="237" t="str">
        <f>Table1[[#This Row],[Column12]]&amp;Table1[[#This Row],[Unit]]&amp;Table1[[#This Row],[Column13]]</f>
        <v>PENSIL WARNA JOYKO CP-107 (12W)LSN64800</v>
      </c>
      <c r="AG78"/>
      <c r="AH78"/>
      <c r="AI78"/>
    </row>
    <row r="79" spans="1:35">
      <c r="A79" s="234" t="str">
        <f ca="1">IF(Table1[[#This Row],[No. Invoice :]]="","",ROW())</f>
        <v/>
      </c>
      <c r="B79" s="234" t="str">
        <f ca="1">IF(Table1[[#This Row],[Column3]]="","",B$1+COUNT(INDIRECT("B$2:B"&amp;ROW()-1)))</f>
        <v/>
      </c>
      <c r="C79" s="235" t="str">
        <f>IF(Table1[[#This Row],[Column2]]="","",Table1[[#This Row],[Column2]]+C$1-1)</f>
        <v/>
      </c>
      <c r="E79" s="236"/>
      <c r="F79" s="234"/>
      <c r="G79" s="234" t="str">
        <f ca="1">IF(Table1[[#This Row],[h_No. Invoice :]]="","",CONCATENATE("AM"," ",Table1[[#This Row],[h_No. Invoice :]]))</f>
        <v/>
      </c>
      <c r="H79" s="234" t="str">
        <f>IF(Table1[[#This Row],[Column5]]="","",INDEX(Table2[Column1],MATCH(Table1[[#This Row],[Column5]],Table2[a],0)))</f>
        <v/>
      </c>
      <c r="I79" s="234" t="str">
        <f>IF(Table1[[#This Row],[Column3]]=0,"",CONCATENATE(UPPER(Table1[[#This Row],[Column3]])," ",Table1[[#This Row],[Column4]]))</f>
        <v xml:space="preserve"> </v>
      </c>
      <c r="J79" s="234" t="str">
        <f>IF(Table1[[#This Row],[Column5]]="","",INDEX(Table2[e],IF(Table1[[#This Row],[Column5]]="","",MATCH(Table1[[#This Row],[Column5]],Table2[a],0)),))</f>
        <v/>
      </c>
      <c r="K79" s="234"/>
      <c r="L79" s="234"/>
      <c r="O79" s="234" t="str">
        <f>IF(Table1[[#This Row],[h_Item Description]]="","",INDEX([1]!db[NB PAJAK],MATCH(Table1[[#This Row],[h_Item Description]],[1]!db[kode],0)))</f>
        <v/>
      </c>
      <c r="Q79" s="237"/>
      <c r="R79" s="238"/>
      <c r="S79" s="238"/>
      <c r="T79" s="237" t="str">
        <f>Table1[[#This Row],[h_hargasetelahdiskon]]</f>
        <v/>
      </c>
      <c r="V79" s="234"/>
      <c r="W79" s="234" t="str">
        <f ca="1">IF(Table1[[#This Row],[Column12]]="","",IF(Table1[[#This Row],[//]]="",INDIRECT(ADDRESS(ROW()-1,COLUMN())),Table1[[#This Row],[//]]))</f>
        <v/>
      </c>
      <c r="X79" s="234" t="str">
        <f ca="1">IF(Table1[[#This Row],[h_id]]="","",COUNTIF(Table1[h_id],Table1[[#This Row],[h_id]]))</f>
        <v/>
      </c>
      <c r="Y79" s="237" t="str">
        <f>IF(Table1[[#This Row],[Column12]]="","",Table1[[#This Row],[Qty]]*Table1[[#This Row],[Column13]])</f>
        <v/>
      </c>
      <c r="Z79" s="237" t="str">
        <f>IF(Table1[[#This Row],[h_hargasebelumdiskon]]="","",IF(Table1[[#This Row],[Column14]]="",0,Table1[[#This Row],[h_hargasebelumdiskon]]*Table1[[#This Row],[Column14]]))</f>
        <v/>
      </c>
      <c r="AA79" s="237" t="str">
        <f>IF(Table1[[#This Row],[h_hargasebelumdiskon]]="","",IF(Table1[[#This Row],[Column15]]="",0,(Table1[[#This Row],[h_hargasebelumdiskon]]-Table1[[#This Row],[h_disc 1]])*Table1[[#This Row],[Column15]]))</f>
        <v/>
      </c>
      <c r="AB79" s="237" t="str">
        <f>IF(Table1[[#This Row],[Column12]]="","",Table1[[#This Row],[h_disc 1]]+Table1[[#This Row],[h_disc 2]])</f>
        <v/>
      </c>
      <c r="AC79" s="237" t="str">
        <f>IF(Table1[[#This Row],[Column12]]="","",Table1[[#This Row],[h_hargasebelumdiskon]]-Table1[[#This Row],[h_diskon]])</f>
        <v/>
      </c>
      <c r="AD79" s="237" t="str">
        <f ca="1">IF(Table1[[#This Row],[//]]="","",SUMIF(Table1[h_id],Table1[[#This Row],[h_id]],Table1[h_hargasetelahdiskon]))</f>
        <v/>
      </c>
      <c r="AF79" s="237" t="str">
        <f>Table1[[#This Row],[Column12]]&amp;Table1[[#This Row],[Unit]]&amp;Table1[[#This Row],[Column13]]</f>
        <v/>
      </c>
      <c r="AG79"/>
      <c r="AH79"/>
      <c r="AI79"/>
    </row>
    <row r="80" spans="1:35">
      <c r="A80" s="234">
        <f ca="1">IF(Table1[[#This Row],[No. Invoice :]]="","",ROW())</f>
        <v>80</v>
      </c>
      <c r="B80" s="234">
        <f ca="1">IF(Table1[[#This Row],[Column3]]="","",B$1+COUNT(INDIRECT("B$2:B"&amp;ROW()-1)))</f>
        <v>24050012</v>
      </c>
      <c r="C80" s="235">
        <f>IF(Table1[[#This Row],[Column2]]="","",Table1[[#This Row],[Column2]]+C$1-1)</f>
        <v>45422</v>
      </c>
      <c r="D80" s="242">
        <v>10</v>
      </c>
      <c r="E80" s="236" t="s">
        <v>317</v>
      </c>
      <c r="F80" s="234" t="s">
        <v>71</v>
      </c>
      <c r="G80" s="234" t="str">
        <f ca="1">IF(Table1[[#This Row],[h_No. Invoice :]]="","",CONCATENATE("AM"," ",Table1[[#This Row],[h_No. Invoice :]]))</f>
        <v>AM 24050012</v>
      </c>
      <c r="H80" s="234" t="str">
        <f>IF(Table1[[#This Row],[Column5]]="","",INDEX(Table2[Column1],MATCH(Table1[[#This Row],[Column5]],Table2[a],0)))</f>
        <v>KO</v>
      </c>
      <c r="I80" s="234" t="str">
        <f>IF(Table1[[#This Row],[Column3]]=0,"",CONCATENATE(UPPER(Table1[[#This Row],[Column3]])," ",Table1[[#This Row],[Column4]]))</f>
        <v>KO 4806</v>
      </c>
      <c r="J80" s="234" t="str">
        <f>IF(Table1[[#This Row],[Column5]]="","",INDEX(Table2[e],IF(Table1[[#This Row],[Column5]]="","",MATCH(Table1[[#This Row],[Column5]],Table2[a],0)),))</f>
        <v>CV SINAR CAHAYA NIRMALA BREBES</v>
      </c>
      <c r="K80" s="234">
        <v>1</v>
      </c>
      <c r="L80" s="234" t="s">
        <v>195</v>
      </c>
      <c r="N80" s="234" t="s">
        <v>318</v>
      </c>
      <c r="O80" s="234" t="str">
        <f>IF(Table1[[#This Row],[h_Item Description]]="","",INDEX([1]!db[NB PAJAK],MATCH(Table1[[#This Row],[h_Item Description]],[1]!db[kode],0)))</f>
        <v>PENSIL JOYKO 2B P-88</v>
      </c>
      <c r="P80" s="234" t="s">
        <v>334</v>
      </c>
      <c r="Q80" s="237">
        <v>104400</v>
      </c>
      <c r="R80" s="238">
        <v>0.1</v>
      </c>
      <c r="S80" s="238"/>
      <c r="T80" s="237">
        <f>Table1[[#This Row],[h_hargasetelahdiskon]]</f>
        <v>93960</v>
      </c>
      <c r="U80" s="237" t="s">
        <v>239</v>
      </c>
      <c r="V80" s="234"/>
      <c r="W80" s="234">
        <f ca="1">IF(Table1[[#This Row],[Column12]]="","",IF(Table1[[#This Row],[//]]="",INDIRECT(ADDRESS(ROW()-1,COLUMN())),Table1[[#This Row],[//]]))</f>
        <v>80</v>
      </c>
      <c r="X80" s="234">
        <f ca="1">IF(Table1[[#This Row],[h_id]]="","",COUNTIF(Table1[h_id],Table1[[#This Row],[h_id]]))</f>
        <v>15</v>
      </c>
      <c r="Y80" s="237">
        <f>IF(Table1[[#This Row],[Column12]]="","",Table1[[#This Row],[Qty]]*Table1[[#This Row],[Column13]])</f>
        <v>104400</v>
      </c>
      <c r="Z80" s="237">
        <f>IF(Table1[[#This Row],[h_hargasebelumdiskon]]="","",IF(Table1[[#This Row],[Column14]]="",0,Table1[[#This Row],[h_hargasebelumdiskon]]*Table1[[#This Row],[Column14]]))</f>
        <v>10440</v>
      </c>
      <c r="AA80" s="237">
        <f>IF(Table1[[#This Row],[h_hargasebelumdiskon]]="","",IF(Table1[[#This Row],[Column15]]="",0,(Table1[[#This Row],[h_hargasebelumdiskon]]-Table1[[#This Row],[h_disc 1]])*Table1[[#This Row],[Column15]]))</f>
        <v>0</v>
      </c>
      <c r="AB80" s="237">
        <f>IF(Table1[[#This Row],[Column12]]="","",Table1[[#This Row],[h_disc 1]]+Table1[[#This Row],[h_disc 2]])</f>
        <v>10440</v>
      </c>
      <c r="AC80" s="237">
        <f>IF(Table1[[#This Row],[Column12]]="","",Table1[[#This Row],[h_hargasebelumdiskon]]-Table1[[#This Row],[h_diskon]])</f>
        <v>93960</v>
      </c>
      <c r="AD80" s="237">
        <f ca="1">IF(Table1[[#This Row],[//]]="","",SUMIF(Table1[h_id],Table1[[#This Row],[h_id]],Table1[h_hargasetelahdiskon]))</f>
        <v>1962810</v>
      </c>
      <c r="AF80" s="237" t="str">
        <f>Table1[[#This Row],[Column12]]&amp;Table1[[#This Row],[Unit]]&amp;Table1[[#This Row],[Column13]]</f>
        <v>PENSIL JOYKO 2B P-88GRS104400</v>
      </c>
      <c r="AG80"/>
      <c r="AH80"/>
      <c r="AI80"/>
    </row>
    <row r="81" spans="1:35">
      <c r="A81" s="234" t="str">
        <f ca="1">IF(Table1[[#This Row],[No. Invoice :]]="","",ROW())</f>
        <v/>
      </c>
      <c r="B81" s="234" t="str">
        <f ca="1">IF(Table1[[#This Row],[Column3]]="","",B$1+COUNT(INDIRECT("B$2:B"&amp;ROW()-1)))</f>
        <v/>
      </c>
      <c r="C81" s="235" t="str">
        <f>IF(Table1[[#This Row],[Column2]]="","",Table1[[#This Row],[Column2]]+C$1-1)</f>
        <v/>
      </c>
      <c r="E81" s="236"/>
      <c r="F81" s="234"/>
      <c r="G81" s="234" t="str">
        <f ca="1">IF(Table1[[#This Row],[h_No. Invoice :]]="","",CONCATENATE("AM"," ",Table1[[#This Row],[h_No. Invoice :]]))</f>
        <v/>
      </c>
      <c r="H81" s="234" t="str">
        <f>IF(Table1[[#This Row],[Column5]]="","",INDEX(Table2[Column1],MATCH(Table1[[#This Row],[Column5]],Table2[a],0)))</f>
        <v/>
      </c>
      <c r="I81" s="234" t="str">
        <f>IF(Table1[[#This Row],[Column3]]=0,"",CONCATENATE(UPPER(Table1[[#This Row],[Column3]])," ",Table1[[#This Row],[Column4]]))</f>
        <v xml:space="preserve"> </v>
      </c>
      <c r="J81" s="234" t="str">
        <f>IF(Table1[[#This Row],[Column5]]="","",INDEX(Table2[e],IF(Table1[[#This Row],[Column5]]="","",MATCH(Table1[[#This Row],[Column5]],Table2[a],0)),))</f>
        <v/>
      </c>
      <c r="K81" s="234">
        <v>1</v>
      </c>
      <c r="L81" s="234" t="s">
        <v>195</v>
      </c>
      <c r="N81" s="234" t="s">
        <v>319</v>
      </c>
      <c r="O81" s="234" t="str">
        <f>IF(Table1[[#This Row],[h_Item Description]]="","",INDEX([1]!db[NB PAJAK],MATCH(Table1[[#This Row],[h_Item Description]],[1]!db[kode],0)))</f>
        <v>PENSIL KENKO 2B-6363 HITAM MATTE</v>
      </c>
      <c r="P81" s="234" t="s">
        <v>335</v>
      </c>
      <c r="Q81" s="237">
        <v>112800</v>
      </c>
      <c r="R81" s="238">
        <v>0.1</v>
      </c>
      <c r="S81" s="238"/>
      <c r="T81" s="237">
        <f>Table1[[#This Row],[h_hargasetelahdiskon]]</f>
        <v>101520</v>
      </c>
      <c r="V81" s="234"/>
      <c r="W81" s="234">
        <f ca="1">IF(Table1[[#This Row],[Column12]]="","",IF(Table1[[#This Row],[//]]="",INDIRECT(ADDRESS(ROW()-1,COLUMN())),Table1[[#This Row],[//]]))</f>
        <v>80</v>
      </c>
      <c r="X81" s="234">
        <f ca="1">IF(Table1[[#This Row],[h_id]]="","",COUNTIF(Table1[h_id],Table1[[#This Row],[h_id]]))</f>
        <v>15</v>
      </c>
      <c r="Y81" s="237">
        <f>IF(Table1[[#This Row],[Column12]]="","",Table1[[#This Row],[Qty]]*Table1[[#This Row],[Column13]])</f>
        <v>112800</v>
      </c>
      <c r="Z81" s="237">
        <f>IF(Table1[[#This Row],[h_hargasebelumdiskon]]="","",IF(Table1[[#This Row],[Column14]]="",0,Table1[[#This Row],[h_hargasebelumdiskon]]*Table1[[#This Row],[Column14]]))</f>
        <v>11280</v>
      </c>
      <c r="AA81" s="237">
        <f>IF(Table1[[#This Row],[h_hargasebelumdiskon]]="","",IF(Table1[[#This Row],[Column15]]="",0,(Table1[[#This Row],[h_hargasebelumdiskon]]-Table1[[#This Row],[h_disc 1]])*Table1[[#This Row],[Column15]]))</f>
        <v>0</v>
      </c>
      <c r="AB81" s="237">
        <f>IF(Table1[[#This Row],[Column12]]="","",Table1[[#This Row],[h_disc 1]]+Table1[[#This Row],[h_disc 2]])</f>
        <v>11280</v>
      </c>
      <c r="AC81" s="237">
        <f>IF(Table1[[#This Row],[Column12]]="","",Table1[[#This Row],[h_hargasebelumdiskon]]-Table1[[#This Row],[h_diskon]])</f>
        <v>101520</v>
      </c>
      <c r="AD81" s="237" t="str">
        <f ca="1">IF(Table1[[#This Row],[//]]="","",SUMIF(Table1[h_id],Table1[[#This Row],[h_id]],Table1[h_hargasetelahdiskon]))</f>
        <v/>
      </c>
      <c r="AF81" s="237" t="str">
        <f>Table1[[#This Row],[Column12]]&amp;Table1[[#This Row],[Unit]]&amp;Table1[[#This Row],[Column13]]</f>
        <v>PENSIL KENKO 2B-6363 HITAM MATTEGRS112800</v>
      </c>
      <c r="AG81"/>
      <c r="AH81"/>
      <c r="AI81"/>
    </row>
    <row r="82" spans="1:35">
      <c r="A82" s="234" t="str">
        <f ca="1">IF(Table1[[#This Row],[No. Invoice :]]="","",ROW())</f>
        <v/>
      </c>
      <c r="B82" s="234" t="str">
        <f ca="1">IF(Table1[[#This Row],[Column3]]="","",B$1+COUNT(INDIRECT("B$2:B"&amp;ROW()-1)))</f>
        <v/>
      </c>
      <c r="C82" s="235" t="str">
        <f>IF(Table1[[#This Row],[Column2]]="","",Table1[[#This Row],[Column2]]+C$1-1)</f>
        <v/>
      </c>
      <c r="E82" s="236"/>
      <c r="F82" s="234"/>
      <c r="G82" s="234" t="str">
        <f ca="1">IF(Table1[[#This Row],[h_No. Invoice :]]="","",CONCATENATE("AM"," ",Table1[[#This Row],[h_No. Invoice :]]))</f>
        <v/>
      </c>
      <c r="H82" s="234" t="str">
        <f>IF(Table1[[#This Row],[Column5]]="","",INDEX(Table2[Column1],MATCH(Table1[[#This Row],[Column5]],Table2[a],0)))</f>
        <v/>
      </c>
      <c r="I82" s="234" t="str">
        <f>IF(Table1[[#This Row],[Column3]]=0,"",CONCATENATE(UPPER(Table1[[#This Row],[Column3]])," ",Table1[[#This Row],[Column4]]))</f>
        <v xml:space="preserve"> </v>
      </c>
      <c r="J82" s="234" t="str">
        <f>IF(Table1[[#This Row],[Column5]]="","",INDEX(Table2[e],IF(Table1[[#This Row],[Column5]]="","",MATCH(Table1[[#This Row],[Column5]],Table2[a],0)),))</f>
        <v/>
      </c>
      <c r="K82" s="234">
        <v>1</v>
      </c>
      <c r="L82" s="234" t="s">
        <v>195</v>
      </c>
      <c r="N82" s="234" t="s">
        <v>320</v>
      </c>
      <c r="O82" s="234" t="str">
        <f>IF(Table1[[#This Row],[h_Item Description]]="","",INDEX([1]!db[NB PAJAK],MATCH(Table1[[#This Row],[h_Item Description]],[1]!db[kode],0)))</f>
        <v>PENSIL KENKO 2B-0810 FLOURESCENT</v>
      </c>
      <c r="P82" s="234" t="s">
        <v>336</v>
      </c>
      <c r="Q82" s="237">
        <v>115200</v>
      </c>
      <c r="R82" s="238">
        <v>0.1</v>
      </c>
      <c r="S82" s="238"/>
      <c r="T82" s="237">
        <f>Table1[[#This Row],[h_hargasetelahdiskon]]</f>
        <v>103680</v>
      </c>
      <c r="V82" s="234"/>
      <c r="W82" s="234">
        <f ca="1">IF(Table1[[#This Row],[Column12]]="","",IF(Table1[[#This Row],[//]]="",INDIRECT(ADDRESS(ROW()-1,COLUMN())),Table1[[#This Row],[//]]))</f>
        <v>80</v>
      </c>
      <c r="X82" s="234">
        <f ca="1">IF(Table1[[#This Row],[h_id]]="","",COUNTIF(Table1[h_id],Table1[[#This Row],[h_id]]))</f>
        <v>15</v>
      </c>
      <c r="Y82" s="237">
        <f>IF(Table1[[#This Row],[Column12]]="","",Table1[[#This Row],[Qty]]*Table1[[#This Row],[Column13]])</f>
        <v>115200</v>
      </c>
      <c r="Z82" s="237">
        <f>IF(Table1[[#This Row],[h_hargasebelumdiskon]]="","",IF(Table1[[#This Row],[Column14]]="",0,Table1[[#This Row],[h_hargasebelumdiskon]]*Table1[[#This Row],[Column14]]))</f>
        <v>11520</v>
      </c>
      <c r="AA82" s="237">
        <f>IF(Table1[[#This Row],[h_hargasebelumdiskon]]="","",IF(Table1[[#This Row],[Column15]]="",0,(Table1[[#This Row],[h_hargasebelumdiskon]]-Table1[[#This Row],[h_disc 1]])*Table1[[#This Row],[Column15]]))</f>
        <v>0</v>
      </c>
      <c r="AB82" s="237">
        <f>IF(Table1[[#This Row],[Column12]]="","",Table1[[#This Row],[h_disc 1]]+Table1[[#This Row],[h_disc 2]])</f>
        <v>11520</v>
      </c>
      <c r="AC82" s="237">
        <f>IF(Table1[[#This Row],[Column12]]="","",Table1[[#This Row],[h_hargasebelumdiskon]]-Table1[[#This Row],[h_diskon]])</f>
        <v>103680</v>
      </c>
      <c r="AD82" s="237" t="str">
        <f ca="1">IF(Table1[[#This Row],[//]]="","",SUMIF(Table1[h_id],Table1[[#This Row],[h_id]],Table1[h_hargasetelahdiskon]))</f>
        <v/>
      </c>
      <c r="AF82" s="237" t="str">
        <f>Table1[[#This Row],[Column12]]&amp;Table1[[#This Row],[Unit]]&amp;Table1[[#This Row],[Column13]]</f>
        <v>PENSIL KENKO 2B-0810 FLOURESCENTGRS115200</v>
      </c>
      <c r="AG82"/>
      <c r="AH82"/>
      <c r="AI82"/>
    </row>
    <row r="83" spans="1:35">
      <c r="A83" s="234" t="str">
        <f ca="1">IF(Table1[[#This Row],[No. Invoice :]]="","",ROW())</f>
        <v/>
      </c>
      <c r="B83" s="234" t="str">
        <f ca="1">IF(Table1[[#This Row],[Column3]]="","",B$1+COUNT(INDIRECT("B$2:B"&amp;ROW()-1)))</f>
        <v/>
      </c>
      <c r="C83" s="235" t="str">
        <f>IF(Table1[[#This Row],[Column2]]="","",Table1[[#This Row],[Column2]]+C$1-1)</f>
        <v/>
      </c>
      <c r="E83" s="236"/>
      <c r="F83" s="234"/>
      <c r="G83" s="234" t="str">
        <f ca="1">IF(Table1[[#This Row],[h_No. Invoice :]]="","",CONCATENATE("AM"," ",Table1[[#This Row],[h_No. Invoice :]]))</f>
        <v/>
      </c>
      <c r="H83" s="234" t="str">
        <f>IF(Table1[[#This Row],[Column5]]="","",INDEX(Table2[Column1],MATCH(Table1[[#This Row],[Column5]],Table2[a],0)))</f>
        <v/>
      </c>
      <c r="I83" s="234" t="str">
        <f>IF(Table1[[#This Row],[Column3]]=0,"",CONCATENATE(UPPER(Table1[[#This Row],[Column3]])," ",Table1[[#This Row],[Column4]]))</f>
        <v xml:space="preserve"> </v>
      </c>
      <c r="J83" s="234" t="str">
        <f>IF(Table1[[#This Row],[Column5]]="","",INDEX(Table2[e],IF(Table1[[#This Row],[Column5]]="","",MATCH(Table1[[#This Row],[Column5]],Table2[a],0)),))</f>
        <v/>
      </c>
      <c r="K83" s="234">
        <v>1</v>
      </c>
      <c r="L83" s="234" t="s">
        <v>195</v>
      </c>
      <c r="N83" s="234" t="s">
        <v>321</v>
      </c>
      <c r="O83" s="234" t="str">
        <f>IF(Table1[[#This Row],[h_Item Description]]="","",INDEX([1]!db[NB PAJAK],MATCH(Table1[[#This Row],[h_Item Description]],[1]!db[kode],0)))</f>
        <v>PENSIL KENKO 2B-6393 FLUORESCENT</v>
      </c>
      <c r="P83" s="234" t="s">
        <v>337</v>
      </c>
      <c r="Q83" s="237">
        <v>120000</v>
      </c>
      <c r="R83" s="238">
        <v>0.1</v>
      </c>
      <c r="S83" s="238"/>
      <c r="T83" s="237">
        <f>Table1[[#This Row],[h_hargasetelahdiskon]]</f>
        <v>108000</v>
      </c>
      <c r="V83" s="234"/>
      <c r="W83" s="234">
        <f ca="1">IF(Table1[[#This Row],[Column12]]="","",IF(Table1[[#This Row],[//]]="",INDIRECT(ADDRESS(ROW()-1,COLUMN())),Table1[[#This Row],[//]]))</f>
        <v>80</v>
      </c>
      <c r="X83" s="234">
        <f ca="1">IF(Table1[[#This Row],[h_id]]="","",COUNTIF(Table1[h_id],Table1[[#This Row],[h_id]]))</f>
        <v>15</v>
      </c>
      <c r="Y83" s="237">
        <f>IF(Table1[[#This Row],[Column12]]="","",Table1[[#This Row],[Qty]]*Table1[[#This Row],[Column13]])</f>
        <v>120000</v>
      </c>
      <c r="Z83" s="237">
        <f>IF(Table1[[#This Row],[h_hargasebelumdiskon]]="","",IF(Table1[[#This Row],[Column14]]="",0,Table1[[#This Row],[h_hargasebelumdiskon]]*Table1[[#This Row],[Column14]]))</f>
        <v>12000</v>
      </c>
      <c r="AA83" s="237">
        <f>IF(Table1[[#This Row],[h_hargasebelumdiskon]]="","",IF(Table1[[#This Row],[Column15]]="",0,(Table1[[#This Row],[h_hargasebelumdiskon]]-Table1[[#This Row],[h_disc 1]])*Table1[[#This Row],[Column15]]))</f>
        <v>0</v>
      </c>
      <c r="AB83" s="237">
        <f>IF(Table1[[#This Row],[Column12]]="","",Table1[[#This Row],[h_disc 1]]+Table1[[#This Row],[h_disc 2]])</f>
        <v>12000</v>
      </c>
      <c r="AC83" s="237">
        <f>IF(Table1[[#This Row],[Column12]]="","",Table1[[#This Row],[h_hargasebelumdiskon]]-Table1[[#This Row],[h_diskon]])</f>
        <v>108000</v>
      </c>
      <c r="AD83" s="237" t="str">
        <f ca="1">IF(Table1[[#This Row],[//]]="","",SUMIF(Table1[h_id],Table1[[#This Row],[h_id]],Table1[h_hargasetelahdiskon]))</f>
        <v/>
      </c>
      <c r="AF83" s="237" t="str">
        <f>Table1[[#This Row],[Column12]]&amp;Table1[[#This Row],[Unit]]&amp;Table1[[#This Row],[Column13]]</f>
        <v>PENSIL KENKO 2B-6393 FLUORESCENTGRS120000</v>
      </c>
      <c r="AG83"/>
      <c r="AH83"/>
      <c r="AI83"/>
    </row>
    <row r="84" spans="1:35">
      <c r="A84" s="234" t="str">
        <f ca="1">IF(Table1[[#This Row],[No. Invoice :]]="","",ROW())</f>
        <v/>
      </c>
      <c r="B84" s="234" t="str">
        <f ca="1">IF(Table1[[#This Row],[Column3]]="","",B$1+COUNT(INDIRECT("B$2:B"&amp;ROW()-1)))</f>
        <v/>
      </c>
      <c r="C84" s="235" t="str">
        <f>IF(Table1[[#This Row],[Column2]]="","",Table1[[#This Row],[Column2]]+C$1-1)</f>
        <v/>
      </c>
      <c r="E84" s="236"/>
      <c r="F84" s="234"/>
      <c r="G84" s="234" t="str">
        <f ca="1">IF(Table1[[#This Row],[h_No. Invoice :]]="","",CONCATENATE("AM"," ",Table1[[#This Row],[h_No. Invoice :]]))</f>
        <v/>
      </c>
      <c r="H84" s="234" t="str">
        <f>IF(Table1[[#This Row],[Column5]]="","",INDEX(Table2[Column1],MATCH(Table1[[#This Row],[Column5]],Table2[a],0)))</f>
        <v/>
      </c>
      <c r="I84" s="234" t="str">
        <f>IF(Table1[[#This Row],[Column3]]=0,"",CONCATENATE(UPPER(Table1[[#This Row],[Column3]])," ",Table1[[#This Row],[Column4]]))</f>
        <v xml:space="preserve"> </v>
      </c>
      <c r="J84" s="234" t="str">
        <f>IF(Table1[[#This Row],[Column5]]="","",INDEX(Table2[e],IF(Table1[[#This Row],[Column5]]="","",MATCH(Table1[[#This Row],[Column5]],Table2[a],0)),))</f>
        <v/>
      </c>
      <c r="K84" s="234">
        <v>1</v>
      </c>
      <c r="L84" s="234" t="s">
        <v>195</v>
      </c>
      <c r="N84" s="234" t="s">
        <v>322</v>
      </c>
      <c r="O84" s="234" t="str">
        <f>IF(Table1[[#This Row],[h_Item Description]]="","",INDEX([1]!db[NB PAJAK],MATCH(Table1[[#This Row],[h_Item Description]],[1]!db[kode],0)))</f>
        <v>PENSIL KENKO 2B 0192-PEARL</v>
      </c>
      <c r="P84" s="234" t="s">
        <v>338</v>
      </c>
      <c r="Q84" s="237">
        <v>122400</v>
      </c>
      <c r="R84" s="238">
        <v>0.1</v>
      </c>
      <c r="S84" s="238"/>
      <c r="T84" s="237">
        <f>Table1[[#This Row],[h_hargasetelahdiskon]]</f>
        <v>110160</v>
      </c>
      <c r="V84" s="234"/>
      <c r="W84" s="234">
        <f ca="1">IF(Table1[[#This Row],[Column12]]="","",IF(Table1[[#This Row],[//]]="",INDIRECT(ADDRESS(ROW()-1,COLUMN())),Table1[[#This Row],[//]]))</f>
        <v>80</v>
      </c>
      <c r="X84" s="234">
        <f ca="1">IF(Table1[[#This Row],[h_id]]="","",COUNTIF(Table1[h_id],Table1[[#This Row],[h_id]]))</f>
        <v>15</v>
      </c>
      <c r="Y84" s="237">
        <f>IF(Table1[[#This Row],[Column12]]="","",Table1[[#This Row],[Qty]]*Table1[[#This Row],[Column13]])</f>
        <v>122400</v>
      </c>
      <c r="Z84" s="237">
        <f>IF(Table1[[#This Row],[h_hargasebelumdiskon]]="","",IF(Table1[[#This Row],[Column14]]="",0,Table1[[#This Row],[h_hargasebelumdiskon]]*Table1[[#This Row],[Column14]]))</f>
        <v>12240</v>
      </c>
      <c r="AA84" s="237">
        <f>IF(Table1[[#This Row],[h_hargasebelumdiskon]]="","",IF(Table1[[#This Row],[Column15]]="",0,(Table1[[#This Row],[h_hargasebelumdiskon]]-Table1[[#This Row],[h_disc 1]])*Table1[[#This Row],[Column15]]))</f>
        <v>0</v>
      </c>
      <c r="AB84" s="237">
        <f>IF(Table1[[#This Row],[Column12]]="","",Table1[[#This Row],[h_disc 1]]+Table1[[#This Row],[h_disc 2]])</f>
        <v>12240</v>
      </c>
      <c r="AC84" s="237">
        <f>IF(Table1[[#This Row],[Column12]]="","",Table1[[#This Row],[h_hargasebelumdiskon]]-Table1[[#This Row],[h_diskon]])</f>
        <v>110160</v>
      </c>
      <c r="AD84" s="237" t="str">
        <f ca="1">IF(Table1[[#This Row],[//]]="","",SUMIF(Table1[h_id],Table1[[#This Row],[h_id]],Table1[h_hargasetelahdiskon]))</f>
        <v/>
      </c>
      <c r="AF84" s="237" t="str">
        <f>Table1[[#This Row],[Column12]]&amp;Table1[[#This Row],[Unit]]&amp;Table1[[#This Row],[Column13]]</f>
        <v>PENSIL KENKO 2B 0192-PEARLGRS122400</v>
      </c>
      <c r="AG84"/>
      <c r="AH84"/>
      <c r="AI84"/>
    </row>
    <row r="85" spans="1:35">
      <c r="A85" s="234" t="str">
        <f ca="1">IF(Table1[[#This Row],[No. Invoice :]]="","",ROW())</f>
        <v/>
      </c>
      <c r="B85" s="234" t="str">
        <f ca="1">IF(Table1[[#This Row],[Column3]]="","",B$1+COUNT(INDIRECT("B$2:B"&amp;ROW()-1)))</f>
        <v/>
      </c>
      <c r="C85" s="235" t="str">
        <f>IF(Table1[[#This Row],[Column2]]="","",Table1[[#This Row],[Column2]]+C$1-1)</f>
        <v/>
      </c>
      <c r="E85" s="236"/>
      <c r="F85" s="234"/>
      <c r="G85" s="234" t="str">
        <f ca="1">IF(Table1[[#This Row],[h_No. Invoice :]]="","",CONCATENATE("AM"," ",Table1[[#This Row],[h_No. Invoice :]]))</f>
        <v/>
      </c>
      <c r="H85" s="234" t="str">
        <f>IF(Table1[[#This Row],[Column5]]="","",INDEX(Table2[Column1],MATCH(Table1[[#This Row],[Column5]],Table2[a],0)))</f>
        <v/>
      </c>
      <c r="I85" s="234" t="str">
        <f>IF(Table1[[#This Row],[Column3]]=0,"",CONCATENATE(UPPER(Table1[[#This Row],[Column3]])," ",Table1[[#This Row],[Column4]]))</f>
        <v xml:space="preserve"> </v>
      </c>
      <c r="J85" s="234" t="str">
        <f>IF(Table1[[#This Row],[Column5]]="","",INDEX(Table2[e],IF(Table1[[#This Row],[Column5]]="","",MATCH(Table1[[#This Row],[Column5]],Table2[a],0)),))</f>
        <v/>
      </c>
      <c r="K85" s="234">
        <v>6</v>
      </c>
      <c r="L85" s="234" t="s">
        <v>186</v>
      </c>
      <c r="N85" s="234" t="s">
        <v>323</v>
      </c>
      <c r="O85" s="234" t="str">
        <f>IF(Table1[[#This Row],[h_Item Description]]="","",INDEX([1]!db[NB PAJAK],MATCH(Table1[[#This Row],[h_Item Description]],[1]!db[kode],0)))</f>
        <v>GEL PEN KENKO KE-100 HITAM</v>
      </c>
      <c r="P85" s="234" t="s">
        <v>339</v>
      </c>
      <c r="Q85" s="237">
        <v>19200</v>
      </c>
      <c r="R85" s="238">
        <v>0.1</v>
      </c>
      <c r="S85" s="238"/>
      <c r="T85" s="237">
        <f>Table1[[#This Row],[h_hargasetelahdiskon]]</f>
        <v>103680</v>
      </c>
      <c r="V85" s="234"/>
      <c r="W85" s="234">
        <f ca="1">IF(Table1[[#This Row],[Column12]]="","",IF(Table1[[#This Row],[//]]="",INDIRECT(ADDRESS(ROW()-1,COLUMN())),Table1[[#This Row],[//]]))</f>
        <v>80</v>
      </c>
      <c r="X85" s="234">
        <f ca="1">IF(Table1[[#This Row],[h_id]]="","",COUNTIF(Table1[h_id],Table1[[#This Row],[h_id]]))</f>
        <v>15</v>
      </c>
      <c r="Y85" s="237">
        <f>IF(Table1[[#This Row],[Column12]]="","",Table1[[#This Row],[Qty]]*Table1[[#This Row],[Column13]])</f>
        <v>115200</v>
      </c>
      <c r="Z85" s="237">
        <f>IF(Table1[[#This Row],[h_hargasebelumdiskon]]="","",IF(Table1[[#This Row],[Column14]]="",0,Table1[[#This Row],[h_hargasebelumdiskon]]*Table1[[#This Row],[Column14]]))</f>
        <v>11520</v>
      </c>
      <c r="AA85" s="237">
        <f>IF(Table1[[#This Row],[h_hargasebelumdiskon]]="","",IF(Table1[[#This Row],[Column15]]="",0,(Table1[[#This Row],[h_hargasebelumdiskon]]-Table1[[#This Row],[h_disc 1]])*Table1[[#This Row],[Column15]]))</f>
        <v>0</v>
      </c>
      <c r="AB85" s="237">
        <f>IF(Table1[[#This Row],[Column12]]="","",Table1[[#This Row],[h_disc 1]]+Table1[[#This Row],[h_disc 2]])</f>
        <v>11520</v>
      </c>
      <c r="AC85" s="237">
        <f>IF(Table1[[#This Row],[Column12]]="","",Table1[[#This Row],[h_hargasebelumdiskon]]-Table1[[#This Row],[h_diskon]])</f>
        <v>103680</v>
      </c>
      <c r="AD85" s="237" t="str">
        <f ca="1">IF(Table1[[#This Row],[//]]="","",SUMIF(Table1[h_id],Table1[[#This Row],[h_id]],Table1[h_hargasetelahdiskon]))</f>
        <v/>
      </c>
      <c r="AF85" s="237" t="str">
        <f>Table1[[#This Row],[Column12]]&amp;Table1[[#This Row],[Unit]]&amp;Table1[[#This Row],[Column13]]</f>
        <v>GEL PEN KENKO KE-100 HITAMLSN19200</v>
      </c>
      <c r="AG85"/>
      <c r="AH85"/>
      <c r="AI85"/>
    </row>
    <row r="86" spans="1:35">
      <c r="A86" s="234" t="str">
        <f ca="1">IF(Table1[[#This Row],[No. Invoice :]]="","",ROW())</f>
        <v/>
      </c>
      <c r="B86" s="234" t="str">
        <f ca="1">IF(Table1[[#This Row],[Column3]]="","",B$1+COUNT(INDIRECT("B$2:B"&amp;ROW()-1)))</f>
        <v/>
      </c>
      <c r="C86" s="235" t="str">
        <f>IF(Table1[[#This Row],[Column2]]="","",Table1[[#This Row],[Column2]]+C$1-1)</f>
        <v/>
      </c>
      <c r="E86" s="236"/>
      <c r="F86" s="234"/>
      <c r="G86" s="234" t="str">
        <f ca="1">IF(Table1[[#This Row],[h_No. Invoice :]]="","",CONCATENATE("AM"," ",Table1[[#This Row],[h_No. Invoice :]]))</f>
        <v/>
      </c>
      <c r="H86" s="234" t="str">
        <f>IF(Table1[[#This Row],[Column5]]="","",INDEX(Table2[Column1],MATCH(Table1[[#This Row],[Column5]],Table2[a],0)))</f>
        <v/>
      </c>
      <c r="I86" s="234" t="str">
        <f>IF(Table1[[#This Row],[Column3]]=0,"",CONCATENATE(UPPER(Table1[[#This Row],[Column3]])," ",Table1[[#This Row],[Column4]]))</f>
        <v xml:space="preserve"> </v>
      </c>
      <c r="J86" s="234" t="str">
        <f>IF(Table1[[#This Row],[Column5]]="","",INDEX(Table2[e],IF(Table1[[#This Row],[Column5]]="","",MATCH(Table1[[#This Row],[Column5]],Table2[a],0)),))</f>
        <v/>
      </c>
      <c r="K86" s="234">
        <v>12</v>
      </c>
      <c r="L86" s="234" t="s">
        <v>186</v>
      </c>
      <c r="N86" s="234" t="s">
        <v>324</v>
      </c>
      <c r="O86" s="234" t="str">
        <f>IF(Table1[[#This Row],[h_Item Description]]="","",INDEX([1]!db[NB PAJAK],MATCH(Table1[[#This Row],[h_Item Description]],[1]!db[kode],0)))</f>
        <v>BALLPEN JOYKO BP-349-12 VOKUS TRANS HITAM (BONUS)</v>
      </c>
      <c r="P86" s="234" t="s">
        <v>360</v>
      </c>
      <c r="Q86" s="237">
        <v>13200</v>
      </c>
      <c r="R86" s="238">
        <v>0.1</v>
      </c>
      <c r="S86" s="238"/>
      <c r="T86" s="237">
        <f>Table1[[#This Row],[h_hargasetelahdiskon]]</f>
        <v>142560</v>
      </c>
      <c r="V86" s="234"/>
      <c r="W86" s="234">
        <f ca="1">IF(Table1[[#This Row],[Column12]]="","",IF(Table1[[#This Row],[//]]="",INDIRECT(ADDRESS(ROW()-1,COLUMN())),Table1[[#This Row],[//]]))</f>
        <v>80</v>
      </c>
      <c r="X86" s="234">
        <f ca="1">IF(Table1[[#This Row],[h_id]]="","",COUNTIF(Table1[h_id],Table1[[#This Row],[h_id]]))</f>
        <v>15</v>
      </c>
      <c r="Y86" s="237">
        <f>IF(Table1[[#This Row],[Column12]]="","",Table1[[#This Row],[Qty]]*Table1[[#This Row],[Column13]])</f>
        <v>158400</v>
      </c>
      <c r="Z86" s="237">
        <f>IF(Table1[[#This Row],[h_hargasebelumdiskon]]="","",IF(Table1[[#This Row],[Column14]]="",0,Table1[[#This Row],[h_hargasebelumdiskon]]*Table1[[#This Row],[Column14]]))</f>
        <v>15840</v>
      </c>
      <c r="AA86" s="237">
        <f>IF(Table1[[#This Row],[h_hargasebelumdiskon]]="","",IF(Table1[[#This Row],[Column15]]="",0,(Table1[[#This Row],[h_hargasebelumdiskon]]-Table1[[#This Row],[h_disc 1]])*Table1[[#This Row],[Column15]]))</f>
        <v>0</v>
      </c>
      <c r="AB86" s="237">
        <f>IF(Table1[[#This Row],[Column12]]="","",Table1[[#This Row],[h_disc 1]]+Table1[[#This Row],[h_disc 2]])</f>
        <v>15840</v>
      </c>
      <c r="AC86" s="237">
        <f>IF(Table1[[#This Row],[Column12]]="","",Table1[[#This Row],[h_hargasebelumdiskon]]-Table1[[#This Row],[h_diskon]])</f>
        <v>142560</v>
      </c>
      <c r="AD86" s="237" t="str">
        <f ca="1">IF(Table1[[#This Row],[//]]="","",SUMIF(Table1[h_id],Table1[[#This Row],[h_id]],Table1[h_hargasetelahdiskon]))</f>
        <v/>
      </c>
      <c r="AF86" s="237" t="str">
        <f>Table1[[#This Row],[Column12]]&amp;Table1[[#This Row],[Unit]]&amp;Table1[[#This Row],[Column13]]</f>
        <v>BALLPEN JOYKO BP-349-12 VOKUS TRANS HITAMLSN13200</v>
      </c>
      <c r="AG86"/>
      <c r="AH86"/>
      <c r="AI86"/>
    </row>
    <row r="87" spans="1:35">
      <c r="A87" s="234" t="str">
        <f ca="1">IF(Table1[[#This Row],[No. Invoice :]]="","",ROW())</f>
        <v/>
      </c>
      <c r="B87" s="234" t="str">
        <f ca="1">IF(Table1[[#This Row],[Column3]]="","",B$1+COUNT(INDIRECT("B$2:B"&amp;ROW()-1)))</f>
        <v/>
      </c>
      <c r="C87" s="235" t="str">
        <f>IF(Table1[[#This Row],[Column2]]="","",Table1[[#This Row],[Column2]]+C$1-1)</f>
        <v/>
      </c>
      <c r="E87" s="236"/>
      <c r="F87" s="234"/>
      <c r="G87" s="234" t="str">
        <f ca="1">IF(Table1[[#This Row],[h_No. Invoice :]]="","",CONCATENATE("AM"," ",Table1[[#This Row],[h_No. Invoice :]]))</f>
        <v/>
      </c>
      <c r="H87" s="234" t="str">
        <f>IF(Table1[[#This Row],[Column5]]="","",INDEX(Table2[Column1],MATCH(Table1[[#This Row],[Column5]],Table2[a],0)))</f>
        <v/>
      </c>
      <c r="I87" s="234" t="str">
        <f>IF(Table1[[#This Row],[Column3]]=0,"",CONCATENATE(UPPER(Table1[[#This Row],[Column3]])," ",Table1[[#This Row],[Column4]]))</f>
        <v xml:space="preserve"> </v>
      </c>
      <c r="J87" s="234" t="str">
        <f>IF(Table1[[#This Row],[Column5]]="","",INDEX(Table2[e],IF(Table1[[#This Row],[Column5]]="","",MATCH(Table1[[#This Row],[Column5]],Table2[a],0)),))</f>
        <v/>
      </c>
      <c r="K87" s="234">
        <v>3</v>
      </c>
      <c r="L87" s="234" t="s">
        <v>186</v>
      </c>
      <c r="N87" s="234" t="s">
        <v>325</v>
      </c>
      <c r="O87" s="234" t="str">
        <f>IF(Table1[[#This Row],[h_Item Description]]="","",INDEX([1]!db[NB PAJAK],MATCH(Table1[[#This Row],[h_Item Description]],[1]!db[kode],0)))</f>
        <v>GEL PEN JOYKO GP-265 Q-GEL HITAM</v>
      </c>
      <c r="P87" s="234" t="s">
        <v>340</v>
      </c>
      <c r="Q87" s="237">
        <v>26400</v>
      </c>
      <c r="R87" s="238">
        <v>0.1</v>
      </c>
      <c r="S87" s="238"/>
      <c r="T87" s="237">
        <f>Table1[[#This Row],[h_hargasetelahdiskon]]</f>
        <v>71280</v>
      </c>
      <c r="V87" s="234"/>
      <c r="W87" s="234">
        <f ca="1">IF(Table1[[#This Row],[Column12]]="","",IF(Table1[[#This Row],[//]]="",INDIRECT(ADDRESS(ROW()-1,COLUMN())),Table1[[#This Row],[//]]))</f>
        <v>80</v>
      </c>
      <c r="X87" s="234">
        <f ca="1">IF(Table1[[#This Row],[h_id]]="","",COUNTIF(Table1[h_id],Table1[[#This Row],[h_id]]))</f>
        <v>15</v>
      </c>
      <c r="Y87" s="237">
        <f>IF(Table1[[#This Row],[Column12]]="","",Table1[[#This Row],[Qty]]*Table1[[#This Row],[Column13]])</f>
        <v>79200</v>
      </c>
      <c r="Z87" s="237">
        <f>IF(Table1[[#This Row],[h_hargasebelumdiskon]]="","",IF(Table1[[#This Row],[Column14]]="",0,Table1[[#This Row],[h_hargasebelumdiskon]]*Table1[[#This Row],[Column14]]))</f>
        <v>7920</v>
      </c>
      <c r="AA87" s="237">
        <f>IF(Table1[[#This Row],[h_hargasebelumdiskon]]="","",IF(Table1[[#This Row],[Column15]]="",0,(Table1[[#This Row],[h_hargasebelumdiskon]]-Table1[[#This Row],[h_disc 1]])*Table1[[#This Row],[Column15]]))</f>
        <v>0</v>
      </c>
      <c r="AB87" s="237">
        <f>IF(Table1[[#This Row],[Column12]]="","",Table1[[#This Row],[h_disc 1]]+Table1[[#This Row],[h_disc 2]])</f>
        <v>7920</v>
      </c>
      <c r="AC87" s="237">
        <f>IF(Table1[[#This Row],[Column12]]="","",Table1[[#This Row],[h_hargasebelumdiskon]]-Table1[[#This Row],[h_diskon]])</f>
        <v>71280</v>
      </c>
      <c r="AD87" s="237" t="str">
        <f ca="1">IF(Table1[[#This Row],[//]]="","",SUMIF(Table1[h_id],Table1[[#This Row],[h_id]],Table1[h_hargasetelahdiskon]))</f>
        <v/>
      </c>
      <c r="AF87" s="237" t="str">
        <f>Table1[[#This Row],[Column12]]&amp;Table1[[#This Row],[Unit]]&amp;Table1[[#This Row],[Column13]]</f>
        <v>GEL PEN JOYKO GP-265 Q-GEL HITAMLSN26400</v>
      </c>
      <c r="AG87"/>
      <c r="AH87"/>
      <c r="AI87"/>
    </row>
    <row r="88" spans="1:35">
      <c r="A88" s="234" t="str">
        <f ca="1">IF(Table1[[#This Row],[No. Invoice :]]="","",ROW())</f>
        <v/>
      </c>
      <c r="B88" s="432" t="str">
        <f ca="1">IF(Table1[[#This Row],[Column3]]="","",B$1+COUNT(INDIRECT("B$2:B"&amp;ROW()-1)))</f>
        <v/>
      </c>
      <c r="C88" s="235" t="str">
        <f>IF(Table1[[#This Row],[Column2]]="","",Table1[[#This Row],[Column2]]+C$1-1)</f>
        <v/>
      </c>
      <c r="D88" s="433"/>
      <c r="E88" s="236"/>
      <c r="F88" s="234"/>
      <c r="G88" s="234" t="str">
        <f ca="1">IF(Table1[[#This Row],[h_No. Invoice :]]="","",CONCATENATE("AM"," ",Table1[[#This Row],[h_No. Invoice :]]))</f>
        <v/>
      </c>
      <c r="H88" s="432" t="str">
        <f>IF(Table1[[#This Row],[Column5]]="","",INDEX(Table2[Column1],MATCH(Table1[[#This Row],[Column5]],Table2[a],0)))</f>
        <v/>
      </c>
      <c r="I88" s="234" t="str">
        <f>IF(Table1[[#This Row],[Column3]]=0,"",CONCATENATE(UPPER(Table1[[#This Row],[Column3]])," ",Table1[[#This Row],[Column4]]))</f>
        <v xml:space="preserve"> </v>
      </c>
      <c r="J88" s="234" t="str">
        <f>IF(Table1[[#This Row],[Column5]]="","",INDEX(Table2[e],IF(Table1[[#This Row],[Column5]]="","",MATCH(Table1[[#This Row],[Column5]],Table2[a],0)),))</f>
        <v/>
      </c>
      <c r="K88" s="234">
        <v>6</v>
      </c>
      <c r="L88" s="234" t="s">
        <v>186</v>
      </c>
      <c r="N88" s="234" t="s">
        <v>326</v>
      </c>
      <c r="O88" s="432" t="str">
        <f>IF(Table1[[#This Row],[h_Item Description]]="","",INDEX([1]!db[NB PAJAK],MATCH(Table1[[#This Row],[h_Item Description]],[1]!db[kode],0)))</f>
        <v>GEL PEN JOYKO GP-330 HITAM</v>
      </c>
      <c r="P88" s="234" t="s">
        <v>341</v>
      </c>
      <c r="Q88" s="237">
        <v>14100</v>
      </c>
      <c r="R88" s="238">
        <v>0.1</v>
      </c>
      <c r="S88" s="238"/>
      <c r="T88" s="435">
        <f>Table1[[#This Row],[h_hargasetelahdiskon]]</f>
        <v>76140</v>
      </c>
      <c r="V88" s="234"/>
      <c r="W88" s="234">
        <f ca="1">IF(Table1[[#This Row],[Column12]]="","",IF(Table1[[#This Row],[//]]="",INDIRECT(ADDRESS(ROW()-1,COLUMN())),Table1[[#This Row],[//]]))</f>
        <v>80</v>
      </c>
      <c r="X88" s="234">
        <f ca="1">IF(Table1[[#This Row],[h_id]]="","",COUNTIF(Table1[h_id],Table1[[#This Row],[h_id]]))</f>
        <v>15</v>
      </c>
      <c r="Y88" s="237">
        <f>IF(Table1[[#This Row],[Column12]]="","",Table1[[#This Row],[Qty]]*Table1[[#This Row],[Column13]])</f>
        <v>84600</v>
      </c>
      <c r="Z88" s="435">
        <f>IF(Table1[[#This Row],[h_hargasebelumdiskon]]="","",IF(Table1[[#This Row],[Column14]]="",0,Table1[[#This Row],[h_hargasebelumdiskon]]*Table1[[#This Row],[Column14]]))</f>
        <v>8460</v>
      </c>
      <c r="AA88" s="435">
        <f>IF(Table1[[#This Row],[h_hargasebelumdiskon]]="","",IF(Table1[[#This Row],[Column15]]="",0,(Table1[[#This Row],[h_hargasebelumdiskon]]-Table1[[#This Row],[h_disc 1]])*Table1[[#This Row],[Column15]]))</f>
        <v>0</v>
      </c>
      <c r="AB88" s="237">
        <f>IF(Table1[[#This Row],[Column12]]="","",Table1[[#This Row],[h_disc 1]]+Table1[[#This Row],[h_disc 2]])</f>
        <v>8460</v>
      </c>
      <c r="AC88" s="237">
        <f>IF(Table1[[#This Row],[Column12]]="","",Table1[[#This Row],[h_hargasebelumdiskon]]-Table1[[#This Row],[h_diskon]])</f>
        <v>76140</v>
      </c>
      <c r="AD88" s="237" t="str">
        <f ca="1">IF(Table1[[#This Row],[//]]="","",SUMIF(Table1[h_id],Table1[[#This Row],[h_id]],Table1[h_hargasetelahdiskon]))</f>
        <v/>
      </c>
      <c r="AF88" s="237" t="str">
        <f>Table1[[#This Row],[Column12]]&amp;Table1[[#This Row],[Unit]]&amp;Table1[[#This Row],[Column13]]</f>
        <v>GEL PEN JOYKO GP-330 HITAMLSN14100</v>
      </c>
      <c r="AG88"/>
      <c r="AH88"/>
      <c r="AI88"/>
    </row>
    <row r="89" spans="1:35">
      <c r="A89" s="234" t="str">
        <f ca="1">IF(Table1[[#This Row],[No. Invoice :]]="","",ROW())</f>
        <v/>
      </c>
      <c r="B89" s="437" t="str">
        <f ca="1">IF(Table1[[#This Row],[Column3]]="","",B$1+COUNT(INDIRECT("B$2:B"&amp;ROW()-1)))</f>
        <v/>
      </c>
      <c r="C89" s="235" t="str">
        <f>IF(Table1[[#This Row],[Column2]]="","",Table1[[#This Row],[Column2]]+C$1-1)</f>
        <v/>
      </c>
      <c r="D89" s="438"/>
      <c r="E89" s="439"/>
      <c r="F89" s="437"/>
      <c r="G89" s="234" t="str">
        <f ca="1">IF(Table1[[#This Row],[h_No. Invoice :]]="","",CONCATENATE("AM"," ",Table1[[#This Row],[h_No. Invoice :]]))</f>
        <v/>
      </c>
      <c r="H89" s="437" t="str">
        <f>IF(Table1[[#This Row],[Column5]]="","",INDEX(Table2[Column1],MATCH(Table1[[#This Row],[Column5]],Table2[a],0)))</f>
        <v/>
      </c>
      <c r="I89" s="234" t="str">
        <f>IF(Table1[[#This Row],[Column3]]=0,"",CONCATENATE(UPPER(Table1[[#This Row],[Column3]])," ",Table1[[#This Row],[Column4]]))</f>
        <v xml:space="preserve"> </v>
      </c>
      <c r="J89" s="234" t="str">
        <f>IF(Table1[[#This Row],[Column5]]="","",INDEX(Table2[e],IF(Table1[[#This Row],[Column5]]="","",MATCH(Table1[[#This Row],[Column5]],Table2[a],0)),))</f>
        <v/>
      </c>
      <c r="K89" s="234">
        <v>3</v>
      </c>
      <c r="L89" s="234" t="s">
        <v>186</v>
      </c>
      <c r="N89" s="234" t="s">
        <v>327</v>
      </c>
      <c r="O89" s="437" t="str">
        <f>IF(Table1[[#This Row],[h_Item Description]]="","",INDEX([1]!db[NB PAJAK],MATCH(Table1[[#This Row],[h_Item Description]],[1]!db[kode],0)))</f>
        <v>GEL PEN KENKO K-1 HITAM</v>
      </c>
      <c r="P89" s="234" t="s">
        <v>342</v>
      </c>
      <c r="Q89" s="237">
        <v>39600</v>
      </c>
      <c r="R89" s="238">
        <v>0.1</v>
      </c>
      <c r="S89" s="238"/>
      <c r="T89" s="440">
        <f>Table1[[#This Row],[h_hargasetelahdiskon]]</f>
        <v>106920</v>
      </c>
      <c r="V89" s="234"/>
      <c r="W89" s="234">
        <f ca="1">IF(Table1[[#This Row],[Column12]]="","",IF(Table1[[#This Row],[//]]="",INDIRECT(ADDRESS(ROW()-1,COLUMN())),Table1[[#This Row],[//]]))</f>
        <v>80</v>
      </c>
      <c r="X89" s="234">
        <f ca="1">IF(Table1[[#This Row],[h_id]]="","",COUNTIF(Table1[h_id],Table1[[#This Row],[h_id]]))</f>
        <v>15</v>
      </c>
      <c r="Y89" s="237">
        <f>IF(Table1[[#This Row],[Column12]]="","",Table1[[#This Row],[Qty]]*Table1[[#This Row],[Column13]])</f>
        <v>118800</v>
      </c>
      <c r="Z89" s="440">
        <f>IF(Table1[[#This Row],[h_hargasebelumdiskon]]="","",IF(Table1[[#This Row],[Column14]]="",0,Table1[[#This Row],[h_hargasebelumdiskon]]*Table1[[#This Row],[Column14]]))</f>
        <v>11880</v>
      </c>
      <c r="AA89" s="440">
        <f>IF(Table1[[#This Row],[h_hargasebelumdiskon]]="","",IF(Table1[[#This Row],[Column15]]="",0,(Table1[[#This Row],[h_hargasebelumdiskon]]-Table1[[#This Row],[h_disc 1]])*Table1[[#This Row],[Column15]]))</f>
        <v>0</v>
      </c>
      <c r="AB89" s="237">
        <f>IF(Table1[[#This Row],[Column12]]="","",Table1[[#This Row],[h_disc 1]]+Table1[[#This Row],[h_disc 2]])</f>
        <v>11880</v>
      </c>
      <c r="AC89" s="237">
        <f>IF(Table1[[#This Row],[Column12]]="","",Table1[[#This Row],[h_hargasebelumdiskon]]-Table1[[#This Row],[h_diskon]])</f>
        <v>106920</v>
      </c>
      <c r="AD89" s="237" t="str">
        <f ca="1">IF(Table1[[#This Row],[//]]="","",SUMIF(Table1[h_id],Table1[[#This Row],[h_id]],Table1[h_hargasetelahdiskon]))</f>
        <v/>
      </c>
      <c r="AF89" s="237" t="str">
        <f>Table1[[#This Row],[Column12]]&amp;Table1[[#This Row],[Unit]]&amp;Table1[[#This Row],[Column13]]</f>
        <v>GEL PEN KENKO K-1 HITAMLSN39600</v>
      </c>
      <c r="AG89"/>
      <c r="AH89"/>
      <c r="AI89"/>
    </row>
    <row r="90" spans="1:35">
      <c r="A90" s="234" t="str">
        <f ca="1">IF(Table1[[#This Row],[No. Invoice :]]="","",ROW())</f>
        <v/>
      </c>
      <c r="B90" s="437" t="str">
        <f ca="1">IF(Table1[[#This Row],[Column3]]="","",B$1+COUNT(INDIRECT("B$2:B"&amp;ROW()-1)))</f>
        <v/>
      </c>
      <c r="C90" s="235" t="str">
        <f>IF(Table1[[#This Row],[Column2]]="","",Table1[[#This Row],[Column2]]+C$1-1)</f>
        <v/>
      </c>
      <c r="D90" s="438"/>
      <c r="E90" s="439"/>
      <c r="F90" s="437"/>
      <c r="G90" s="234" t="str">
        <f ca="1">IF(Table1[[#This Row],[h_No. Invoice :]]="","",CONCATENATE("AM"," ",Table1[[#This Row],[h_No. Invoice :]]))</f>
        <v/>
      </c>
      <c r="H90" s="437" t="str">
        <f>IF(Table1[[#This Row],[Column5]]="","",INDEX(Table2[Column1],MATCH(Table1[[#This Row],[Column5]],Table2[a],0)))</f>
        <v/>
      </c>
      <c r="I90" s="234" t="str">
        <f>IF(Table1[[#This Row],[Column3]]=0,"",CONCATENATE(UPPER(Table1[[#This Row],[Column3]])," ",Table1[[#This Row],[Column4]]))</f>
        <v xml:space="preserve"> </v>
      </c>
      <c r="J90" s="234" t="str">
        <f>IF(Table1[[#This Row],[Column5]]="","",INDEX(Table2[e],IF(Table1[[#This Row],[Column5]]="","",MATCH(Table1[[#This Row],[Column5]],Table2[a],0)),))</f>
        <v/>
      </c>
      <c r="K90" s="234">
        <v>3</v>
      </c>
      <c r="L90" s="234" t="s">
        <v>186</v>
      </c>
      <c r="N90" s="234" t="s">
        <v>328</v>
      </c>
      <c r="O90" s="437" t="str">
        <f>IF(Table1[[#This Row],[h_Item Description]]="","",INDEX([1]!db[NB PAJAK],MATCH(Table1[[#This Row],[h_Item Description]],[1]!db[kode],0)))</f>
        <v>GEL PEN KENKO K-1 ECO HITAM</v>
      </c>
      <c r="P90" s="234" t="s">
        <v>343</v>
      </c>
      <c r="Q90" s="237">
        <v>27000</v>
      </c>
      <c r="R90" s="238">
        <v>0.1</v>
      </c>
      <c r="S90" s="238"/>
      <c r="T90" s="440">
        <f>Table1[[#This Row],[h_hargasetelahdiskon]]</f>
        <v>72900</v>
      </c>
      <c r="V90" s="234"/>
      <c r="W90" s="234">
        <f ca="1">IF(Table1[[#This Row],[Column12]]="","",IF(Table1[[#This Row],[//]]="",INDIRECT(ADDRESS(ROW()-1,COLUMN())),Table1[[#This Row],[//]]))</f>
        <v>80</v>
      </c>
      <c r="X90" s="234">
        <f ca="1">IF(Table1[[#This Row],[h_id]]="","",COUNTIF(Table1[h_id],Table1[[#This Row],[h_id]]))</f>
        <v>15</v>
      </c>
      <c r="Y90" s="237">
        <f>IF(Table1[[#This Row],[Column12]]="","",Table1[[#This Row],[Qty]]*Table1[[#This Row],[Column13]])</f>
        <v>81000</v>
      </c>
      <c r="Z90" s="440">
        <f>IF(Table1[[#This Row],[h_hargasebelumdiskon]]="","",IF(Table1[[#This Row],[Column14]]="",0,Table1[[#This Row],[h_hargasebelumdiskon]]*Table1[[#This Row],[Column14]]))</f>
        <v>8100</v>
      </c>
      <c r="AA90" s="440">
        <f>IF(Table1[[#This Row],[h_hargasebelumdiskon]]="","",IF(Table1[[#This Row],[Column15]]="",0,(Table1[[#This Row],[h_hargasebelumdiskon]]-Table1[[#This Row],[h_disc 1]])*Table1[[#This Row],[Column15]]))</f>
        <v>0</v>
      </c>
      <c r="AB90" s="237">
        <f>IF(Table1[[#This Row],[Column12]]="","",Table1[[#This Row],[h_disc 1]]+Table1[[#This Row],[h_disc 2]])</f>
        <v>8100</v>
      </c>
      <c r="AC90" s="237">
        <f>IF(Table1[[#This Row],[Column12]]="","",Table1[[#This Row],[h_hargasebelumdiskon]]-Table1[[#This Row],[h_diskon]])</f>
        <v>72900</v>
      </c>
      <c r="AD90" s="237" t="str">
        <f ca="1">IF(Table1[[#This Row],[//]]="","",SUMIF(Table1[h_id],Table1[[#This Row],[h_id]],Table1[h_hargasetelahdiskon]))</f>
        <v/>
      </c>
      <c r="AF90" s="237" t="str">
        <f>Table1[[#This Row],[Column12]]&amp;Table1[[#This Row],[Unit]]&amp;Table1[[#This Row],[Column13]]</f>
        <v>GEL PEN KENKO K-1 ECO HITAMLSN27000</v>
      </c>
      <c r="AG90"/>
      <c r="AH90"/>
      <c r="AI90"/>
    </row>
    <row r="91" spans="1:35">
      <c r="A91" s="234" t="str">
        <f ca="1">IF(Table1[[#This Row],[No. Invoice :]]="","",ROW())</f>
        <v/>
      </c>
      <c r="B91" s="437" t="str">
        <f ca="1">IF(Table1[[#This Row],[Column3]]="","",B$1+COUNT(INDIRECT("B$2:B"&amp;ROW()-1)))</f>
        <v/>
      </c>
      <c r="C91" s="235" t="str">
        <f>IF(Table1[[#This Row],[Column2]]="","",Table1[[#This Row],[Column2]]+C$1-1)</f>
        <v/>
      </c>
      <c r="D91" s="438"/>
      <c r="E91" s="236"/>
      <c r="F91" s="234"/>
      <c r="G91" s="234" t="str">
        <f ca="1">IF(Table1[[#This Row],[h_No. Invoice :]]="","",CONCATENATE("AM"," ",Table1[[#This Row],[h_No. Invoice :]]))</f>
        <v/>
      </c>
      <c r="H91" s="437" t="str">
        <f>IF(Table1[[#This Row],[Column5]]="","",INDEX(Table2[Column1],MATCH(Table1[[#This Row],[Column5]],Table2[a],0)))</f>
        <v/>
      </c>
      <c r="I91" s="234" t="str">
        <f>IF(Table1[[#This Row],[Column3]]=0,"",CONCATENATE(UPPER(Table1[[#This Row],[Column3]])," ",Table1[[#This Row],[Column4]]))</f>
        <v xml:space="preserve"> </v>
      </c>
      <c r="J91" s="234" t="str">
        <f>IF(Table1[[#This Row],[Column5]]="","",INDEX(Table2[e],IF(Table1[[#This Row],[Column5]]="","",MATCH(Table1[[#This Row],[Column5]],Table2[a],0)),))</f>
        <v/>
      </c>
      <c r="K91" s="234">
        <v>50</v>
      </c>
      <c r="L91" s="234" t="s">
        <v>135</v>
      </c>
      <c r="N91" s="445" t="s">
        <v>329</v>
      </c>
      <c r="O91" s="437" t="e">
        <f>IF(Table1[[#This Row],[h_Item Description]]="","",INDEX([1]!db[NB PAJAK],MATCH(Table1[[#This Row],[h_Item Description]],[1]!db[kode],0)))</f>
        <v>#N/A</v>
      </c>
      <c r="P91" s="45" t="s">
        <v>332</v>
      </c>
      <c r="Q91" s="237">
        <v>5700</v>
      </c>
      <c r="R91" s="238">
        <v>0.1</v>
      </c>
      <c r="S91" s="238"/>
      <c r="T91" s="440">
        <f>Table1[[#This Row],[h_hargasetelahdiskon]]</f>
        <v>256500</v>
      </c>
      <c r="V91" s="234"/>
      <c r="W91" s="234">
        <f ca="1">IF(Table1[[#This Row],[Column12]]="","",IF(Table1[[#This Row],[//]]="",INDIRECT(ADDRESS(ROW()-1,COLUMN())),Table1[[#This Row],[//]]))</f>
        <v>80</v>
      </c>
      <c r="X91" s="234">
        <f ca="1">IF(Table1[[#This Row],[h_id]]="","",COUNTIF(Table1[h_id],Table1[[#This Row],[h_id]]))</f>
        <v>15</v>
      </c>
      <c r="Y91" s="237">
        <f>IF(Table1[[#This Row],[Column12]]="","",Table1[[#This Row],[Qty]]*Table1[[#This Row],[Column13]])</f>
        <v>285000</v>
      </c>
      <c r="Z91" s="440">
        <f>IF(Table1[[#This Row],[h_hargasebelumdiskon]]="","",IF(Table1[[#This Row],[Column14]]="",0,Table1[[#This Row],[h_hargasebelumdiskon]]*Table1[[#This Row],[Column14]]))</f>
        <v>28500</v>
      </c>
      <c r="AA91" s="440">
        <f>IF(Table1[[#This Row],[h_hargasebelumdiskon]]="","",IF(Table1[[#This Row],[Column15]]="",0,(Table1[[#This Row],[h_hargasebelumdiskon]]-Table1[[#This Row],[h_disc 1]])*Table1[[#This Row],[Column15]]))</f>
        <v>0</v>
      </c>
      <c r="AB91" s="237">
        <f>IF(Table1[[#This Row],[Column12]]="","",Table1[[#This Row],[h_disc 1]]+Table1[[#This Row],[h_disc 2]])</f>
        <v>28500</v>
      </c>
      <c r="AC91" s="237">
        <f>IF(Table1[[#This Row],[Column12]]="","",Table1[[#This Row],[h_hargasebelumdiskon]]-Table1[[#This Row],[h_diskon]])</f>
        <v>256500</v>
      </c>
      <c r="AD91" s="237" t="str">
        <f ca="1">IF(Table1[[#This Row],[//]]="","",SUMIF(Table1[h_id],Table1[[#This Row],[h_id]],Table1[h_hargasetelahdiskon]))</f>
        <v/>
      </c>
      <c r="AF91" s="237" t="str">
        <f>Table1[[#This Row],[Column12]]&amp;Table1[[#This Row],[Unit]]&amp;Table1[[#This Row],[Column13]]</f>
        <v>LOOSE LEAF JOYART B5-2670 (50S)PAK5700</v>
      </c>
      <c r="AG91"/>
      <c r="AH91"/>
      <c r="AI91"/>
    </row>
    <row r="92" spans="1:35">
      <c r="A92" s="234" t="str">
        <f ca="1">IF(Table1[[#This Row],[No. Invoice :]]="","",ROW())</f>
        <v/>
      </c>
      <c r="B92" s="437" t="str">
        <f ca="1">IF(Table1[[#This Row],[Column3]]="","",B$1+COUNT(INDIRECT("B$2:B"&amp;ROW()-1)))</f>
        <v/>
      </c>
      <c r="C92" s="235" t="str">
        <f>IF(Table1[[#This Row],[Column2]]="","",Table1[[#This Row],[Column2]]+C$1-1)</f>
        <v/>
      </c>
      <c r="D92" s="438"/>
      <c r="E92" s="439"/>
      <c r="F92" s="437"/>
      <c r="G92" s="234" t="str">
        <f ca="1">IF(Table1[[#This Row],[h_No. Invoice :]]="","",CONCATENATE("AM"," ",Table1[[#This Row],[h_No. Invoice :]]))</f>
        <v/>
      </c>
      <c r="H92" s="437" t="str">
        <f>IF(Table1[[#This Row],[Column5]]="","",INDEX(Table2[Column1],MATCH(Table1[[#This Row],[Column5]],Table2[a],0)))</f>
        <v/>
      </c>
      <c r="I92" s="234" t="str">
        <f>IF(Table1[[#This Row],[Column3]]=0,"",CONCATENATE(UPPER(Table1[[#This Row],[Column3]])," ",Table1[[#This Row],[Column4]]))</f>
        <v xml:space="preserve"> </v>
      </c>
      <c r="J92" s="234" t="str">
        <f>IF(Table1[[#This Row],[Column5]]="","",INDEX(Table2[e],IF(Table1[[#This Row],[Column5]]="","",MATCH(Table1[[#This Row],[Column5]],Table2[a],0)),))</f>
        <v/>
      </c>
      <c r="K92" s="234">
        <v>50</v>
      </c>
      <c r="L92" s="234" t="s">
        <v>135</v>
      </c>
      <c r="N92" s="445" t="s">
        <v>330</v>
      </c>
      <c r="O92" s="437" t="str">
        <f>IF(Table1[[#This Row],[h_Item Description]]="","",INDEX([1]!db[NB PAJAK],MATCH(Table1[[#This Row],[h_Item Description]],[1]!db[kode],0)))</f>
        <v>LOOSE LEAF KENKO A5-LL 50-2070</v>
      </c>
      <c r="P92" s="234" t="s">
        <v>344</v>
      </c>
      <c r="Q92" s="237">
        <v>4400</v>
      </c>
      <c r="R92" s="238">
        <v>0.1</v>
      </c>
      <c r="S92" s="238"/>
      <c r="T92" s="440">
        <f>Table1[[#This Row],[h_hargasetelahdiskon]]</f>
        <v>198000</v>
      </c>
      <c r="V92" s="234"/>
      <c r="W92" s="234">
        <f ca="1">IF(Table1[[#This Row],[Column12]]="","",IF(Table1[[#This Row],[//]]="",INDIRECT(ADDRESS(ROW()-1,COLUMN())),Table1[[#This Row],[//]]))</f>
        <v>80</v>
      </c>
      <c r="X92" s="234">
        <f ca="1">IF(Table1[[#This Row],[h_id]]="","",COUNTIF(Table1[h_id],Table1[[#This Row],[h_id]]))</f>
        <v>15</v>
      </c>
      <c r="Y92" s="237">
        <f>IF(Table1[[#This Row],[Column12]]="","",Table1[[#This Row],[Qty]]*Table1[[#This Row],[Column13]])</f>
        <v>220000</v>
      </c>
      <c r="Z92" s="440">
        <f>IF(Table1[[#This Row],[h_hargasebelumdiskon]]="","",IF(Table1[[#This Row],[Column14]]="",0,Table1[[#This Row],[h_hargasebelumdiskon]]*Table1[[#This Row],[Column14]]))</f>
        <v>22000</v>
      </c>
      <c r="AA92" s="440">
        <f>IF(Table1[[#This Row],[h_hargasebelumdiskon]]="","",IF(Table1[[#This Row],[Column15]]="",0,(Table1[[#This Row],[h_hargasebelumdiskon]]-Table1[[#This Row],[h_disc 1]])*Table1[[#This Row],[Column15]]))</f>
        <v>0</v>
      </c>
      <c r="AB92" s="237">
        <f>IF(Table1[[#This Row],[Column12]]="","",Table1[[#This Row],[h_disc 1]]+Table1[[#This Row],[h_disc 2]])</f>
        <v>22000</v>
      </c>
      <c r="AC92" s="237">
        <f>IF(Table1[[#This Row],[Column12]]="","",Table1[[#This Row],[h_hargasebelumdiskon]]-Table1[[#This Row],[h_diskon]])</f>
        <v>198000</v>
      </c>
      <c r="AD92" s="237" t="str">
        <f ca="1">IF(Table1[[#This Row],[//]]="","",SUMIF(Table1[h_id],Table1[[#This Row],[h_id]],Table1[h_hargasetelahdiskon]))</f>
        <v/>
      </c>
      <c r="AF92" s="237" t="str">
        <f>Table1[[#This Row],[Column12]]&amp;Table1[[#This Row],[Unit]]&amp;Table1[[#This Row],[Column13]]</f>
        <v>LOOSE LEAF KENKO A5-LL 50-2070PAK4400</v>
      </c>
      <c r="AG92"/>
      <c r="AH92"/>
      <c r="AI92"/>
    </row>
    <row r="93" spans="1:35">
      <c r="A93" s="234" t="str">
        <f ca="1">IF(Table1[[#This Row],[No. Invoice :]]="","",ROW())</f>
        <v/>
      </c>
      <c r="B93" s="437" t="str">
        <f ca="1">IF(Table1[[#This Row],[Column3]]="","",B$1+COUNT(INDIRECT("B$2:B"&amp;ROW()-1)))</f>
        <v/>
      </c>
      <c r="C93" s="235" t="str">
        <f>IF(Table1[[#This Row],[Column2]]="","",Table1[[#This Row],[Column2]]+C$1-1)</f>
        <v/>
      </c>
      <c r="D93" s="438"/>
      <c r="E93" s="439"/>
      <c r="F93" s="437"/>
      <c r="G93" s="234" t="str">
        <f ca="1">IF(Table1[[#This Row],[h_No. Invoice :]]="","",CONCATENATE("AM"," ",Table1[[#This Row],[h_No. Invoice :]]))</f>
        <v/>
      </c>
      <c r="H93" s="437" t="str">
        <f>IF(Table1[[#This Row],[Column5]]="","",INDEX(Table2[Column1],MATCH(Table1[[#This Row],[Column5]],Table2[a],0)))</f>
        <v/>
      </c>
      <c r="I93" s="234" t="str">
        <f>IF(Table1[[#This Row],[Column3]]=0,"",CONCATENATE(UPPER(Table1[[#This Row],[Column3]])," ",Table1[[#This Row],[Column4]]))</f>
        <v xml:space="preserve"> </v>
      </c>
      <c r="J93" s="234" t="str">
        <f>IF(Table1[[#This Row],[Column5]]="","",INDEX(Table2[e],IF(Table1[[#This Row],[Column5]]="","",MATCH(Table1[[#This Row],[Column5]],Table2[a],0)),))</f>
        <v/>
      </c>
      <c r="K93" s="234">
        <v>46</v>
      </c>
      <c r="L93" s="234" t="s">
        <v>135</v>
      </c>
      <c r="N93" s="445" t="s">
        <v>333</v>
      </c>
      <c r="O93" s="437" t="str">
        <f>IF(Table1[[#This Row],[h_Item Description]]="","",INDEX([1]!db[NB PAJAK],MATCH(Table1[[#This Row],[h_Item Description]],[1]!db[kode],0)))</f>
        <v>LOOSE LEAF KENKO A5-LL 100-2070</v>
      </c>
      <c r="P93" s="234" t="s">
        <v>345</v>
      </c>
      <c r="Q93" s="237">
        <v>8350</v>
      </c>
      <c r="R93" s="238">
        <v>0.1</v>
      </c>
      <c r="S93" s="238"/>
      <c r="T93" s="440">
        <f>Table1[[#This Row],[h_hargasetelahdiskon]]</f>
        <v>345690</v>
      </c>
      <c r="V93" s="234"/>
      <c r="W93" s="234">
        <f ca="1">IF(Table1[[#This Row],[Column12]]="","",IF(Table1[[#This Row],[//]]="",INDIRECT(ADDRESS(ROW()-1,COLUMN())),Table1[[#This Row],[//]]))</f>
        <v>80</v>
      </c>
      <c r="X93" s="234">
        <f ca="1">IF(Table1[[#This Row],[h_id]]="","",COUNTIF(Table1[h_id],Table1[[#This Row],[h_id]]))</f>
        <v>15</v>
      </c>
      <c r="Y93" s="237">
        <f>IF(Table1[[#This Row],[Column12]]="","",Table1[[#This Row],[Qty]]*Table1[[#This Row],[Column13]])</f>
        <v>384100</v>
      </c>
      <c r="Z93" s="440">
        <f>IF(Table1[[#This Row],[h_hargasebelumdiskon]]="","",IF(Table1[[#This Row],[Column14]]="",0,Table1[[#This Row],[h_hargasebelumdiskon]]*Table1[[#This Row],[Column14]]))</f>
        <v>38410</v>
      </c>
      <c r="AA93" s="440">
        <f>IF(Table1[[#This Row],[h_hargasebelumdiskon]]="","",IF(Table1[[#This Row],[Column15]]="",0,(Table1[[#This Row],[h_hargasebelumdiskon]]-Table1[[#This Row],[h_disc 1]])*Table1[[#This Row],[Column15]]))</f>
        <v>0</v>
      </c>
      <c r="AB93" s="237">
        <f>IF(Table1[[#This Row],[Column12]]="","",Table1[[#This Row],[h_disc 1]]+Table1[[#This Row],[h_disc 2]])</f>
        <v>38410</v>
      </c>
      <c r="AC93" s="237">
        <f>IF(Table1[[#This Row],[Column12]]="","",Table1[[#This Row],[h_hargasebelumdiskon]]-Table1[[#This Row],[h_diskon]])</f>
        <v>345690</v>
      </c>
      <c r="AD93" s="237" t="str">
        <f ca="1">IF(Table1[[#This Row],[//]]="","",SUMIF(Table1[h_id],Table1[[#This Row],[h_id]],Table1[h_hargasetelahdiskon]))</f>
        <v/>
      </c>
      <c r="AF93" s="237" t="str">
        <f>Table1[[#This Row],[Column12]]&amp;Table1[[#This Row],[Unit]]&amp;Table1[[#This Row],[Column13]]</f>
        <v>LOOSE LEAF KENKO A5-LL 100-2070PAK8350</v>
      </c>
      <c r="AG93"/>
      <c r="AH93"/>
      <c r="AI93"/>
    </row>
    <row r="94" spans="1:35">
      <c r="A94" s="234" t="str">
        <f ca="1">IF(Table1[[#This Row],[No. Invoice :]]="","",ROW())</f>
        <v/>
      </c>
      <c r="B94" s="432" t="str">
        <f ca="1">IF(Table1[[#This Row],[Column3]]="","",B$1+COUNT(INDIRECT("B$2:B"&amp;ROW()-1)))</f>
        <v/>
      </c>
      <c r="C94" s="235" t="str">
        <f>IF(Table1[[#This Row],[Column2]]="","",Table1[[#This Row],[Column2]]+C$1-1)</f>
        <v/>
      </c>
      <c r="D94" s="433"/>
      <c r="E94" s="236"/>
      <c r="F94" s="234"/>
      <c r="G94" s="234" t="str">
        <f ca="1">IF(Table1[[#This Row],[h_No. Invoice :]]="","",CONCATENATE("AM"," ",Table1[[#This Row],[h_No. Invoice :]]))</f>
        <v/>
      </c>
      <c r="H94" s="432" t="str">
        <f>IF(Table1[[#This Row],[Column5]]="","",INDEX(Table2[Column1],MATCH(Table1[[#This Row],[Column5]],Table2[a],0)))</f>
        <v/>
      </c>
      <c r="I94" s="234" t="str">
        <f>IF(Table1[[#This Row],[Column3]]=0,"",CONCATENATE(UPPER(Table1[[#This Row],[Column3]])," ",Table1[[#This Row],[Column4]]))</f>
        <v xml:space="preserve"> </v>
      </c>
      <c r="J94" s="234" t="str">
        <f>IF(Table1[[#This Row],[Column5]]="","",INDEX(Table2[e],IF(Table1[[#This Row],[Column5]]="","",MATCH(Table1[[#This Row],[Column5]],Table2[a],0)),))</f>
        <v/>
      </c>
      <c r="K94" s="234">
        <v>1</v>
      </c>
      <c r="L94" s="234" t="s">
        <v>186</v>
      </c>
      <c r="N94" s="445" t="s">
        <v>331</v>
      </c>
      <c r="O94" s="432" t="str">
        <f>IF(Table1[[#This Row],[h_Item Description]]="","",INDEX([1]!db[NB PAJAK],MATCH(Table1[[#This Row],[h_Item Description]],[1]!db[kode],0)))</f>
        <v>GUNTING KENKO SC-838N</v>
      </c>
      <c r="P94" s="234" t="s">
        <v>346</v>
      </c>
      <c r="Q94" s="237">
        <v>79800</v>
      </c>
      <c r="R94" s="238">
        <v>0.1</v>
      </c>
      <c r="S94" s="238"/>
      <c r="T94" s="435">
        <f>Table1[[#This Row],[h_hargasetelahdiskon]]</f>
        <v>71820</v>
      </c>
      <c r="V94" s="234"/>
      <c r="W94" s="234">
        <f ca="1">IF(Table1[[#This Row],[Column12]]="","",IF(Table1[[#This Row],[//]]="",INDIRECT(ADDRESS(ROW()-1,COLUMN())),Table1[[#This Row],[//]]))</f>
        <v>80</v>
      </c>
      <c r="X94" s="234">
        <f ca="1">IF(Table1[[#This Row],[h_id]]="","",COUNTIF(Table1[h_id],Table1[[#This Row],[h_id]]))</f>
        <v>15</v>
      </c>
      <c r="Y94" s="237">
        <f>IF(Table1[[#This Row],[Column12]]="","",Table1[[#This Row],[Qty]]*Table1[[#This Row],[Column13]])</f>
        <v>79800</v>
      </c>
      <c r="Z94" s="435">
        <f>IF(Table1[[#This Row],[h_hargasebelumdiskon]]="","",IF(Table1[[#This Row],[Column14]]="",0,Table1[[#This Row],[h_hargasebelumdiskon]]*Table1[[#This Row],[Column14]]))</f>
        <v>7980</v>
      </c>
      <c r="AA94" s="435">
        <f>IF(Table1[[#This Row],[h_hargasebelumdiskon]]="","",IF(Table1[[#This Row],[Column15]]="",0,(Table1[[#This Row],[h_hargasebelumdiskon]]-Table1[[#This Row],[h_disc 1]])*Table1[[#This Row],[Column15]]))</f>
        <v>0</v>
      </c>
      <c r="AB94" s="237">
        <f>IF(Table1[[#This Row],[Column12]]="","",Table1[[#This Row],[h_disc 1]]+Table1[[#This Row],[h_disc 2]])</f>
        <v>7980</v>
      </c>
      <c r="AC94" s="237">
        <f>IF(Table1[[#This Row],[Column12]]="","",Table1[[#This Row],[h_hargasebelumdiskon]]-Table1[[#This Row],[h_diskon]])</f>
        <v>71820</v>
      </c>
      <c r="AD94" s="237" t="str">
        <f ca="1">IF(Table1[[#This Row],[//]]="","",SUMIF(Table1[h_id],Table1[[#This Row],[h_id]],Table1[h_hargasetelahdiskon]))</f>
        <v/>
      </c>
      <c r="AF94" s="237" t="str">
        <f>Table1[[#This Row],[Column12]]&amp;Table1[[#This Row],[Unit]]&amp;Table1[[#This Row],[Column13]]</f>
        <v>GUNTING KENKO SC-838NLSN79800</v>
      </c>
      <c r="AG94"/>
      <c r="AH94"/>
      <c r="AI94"/>
    </row>
    <row r="95" spans="1:35">
      <c r="A95" s="234" t="str">
        <f ca="1">IF(Table1[[#This Row],[No. Invoice :]]="","",ROW())</f>
        <v/>
      </c>
      <c r="B95" s="234" t="str">
        <f ca="1">IF(Table1[[#This Row],[Column3]]="","",B$1+COUNT(INDIRECT("B$2:B"&amp;ROW()-1)))</f>
        <v/>
      </c>
      <c r="C95" s="235" t="str">
        <f>IF(Table1[[#This Row],[Column2]]="","",Table1[[#This Row],[Column2]]+C$1-1)</f>
        <v/>
      </c>
      <c r="E95" s="236"/>
      <c r="F95" s="234"/>
      <c r="G95" s="234" t="str">
        <f ca="1">IF(Table1[[#This Row],[h_No. Invoice :]]="","",CONCATENATE("AM"," ",Table1[[#This Row],[h_No. Invoice :]]))</f>
        <v/>
      </c>
      <c r="H95" s="234" t="str">
        <f>IF(Table1[[#This Row],[Column5]]="","",INDEX(Table2[Column1],MATCH(Table1[[#This Row],[Column5]],Table2[a],0)))</f>
        <v/>
      </c>
      <c r="I95" s="234" t="str">
        <f>IF(Table1[[#This Row],[Column3]]=0,"",CONCATENATE(UPPER(Table1[[#This Row],[Column3]])," ",Table1[[#This Row],[Column4]]))</f>
        <v xml:space="preserve"> </v>
      </c>
      <c r="J95" s="234" t="str">
        <f>IF(Table1[[#This Row],[Column5]]="","",INDEX(Table2[e],IF(Table1[[#This Row],[Column5]]="","",MATCH(Table1[[#This Row],[Column5]],Table2[a],0)),))</f>
        <v/>
      </c>
      <c r="L95" s="234"/>
      <c r="N95" s="445"/>
      <c r="O95" s="234" t="str">
        <f>IF(Table1[[#This Row],[h_Item Description]]="","",INDEX([1]!db[NB PAJAK],MATCH(Table1[[#This Row],[h_Item Description]],[1]!db[kode],0)))</f>
        <v/>
      </c>
      <c r="Q95" s="237"/>
      <c r="R95" s="238"/>
      <c r="S95" s="238"/>
      <c r="T95" s="237" t="str">
        <f>Table1[[#This Row],[h_hargasetelahdiskon]]</f>
        <v/>
      </c>
      <c r="V95" s="234"/>
      <c r="W95" s="234" t="str">
        <f ca="1">IF(Table1[[#This Row],[Column12]]="","",IF(Table1[[#This Row],[//]]="",INDIRECT(ADDRESS(ROW()-1,COLUMN())),Table1[[#This Row],[//]]))</f>
        <v/>
      </c>
      <c r="X95" s="234" t="str">
        <f ca="1">IF(Table1[[#This Row],[h_id]]="","",COUNTIF(Table1[h_id],Table1[[#This Row],[h_id]]))</f>
        <v/>
      </c>
      <c r="Y95" s="237" t="str">
        <f>IF(Table1[[#This Row],[Column12]]="","",Table1[[#This Row],[Qty]]*Table1[[#This Row],[Column13]])</f>
        <v/>
      </c>
      <c r="Z95" s="237" t="str">
        <f>IF(Table1[[#This Row],[h_hargasebelumdiskon]]="","",IF(Table1[[#This Row],[Column14]]="",0,Table1[[#This Row],[h_hargasebelumdiskon]]*Table1[[#This Row],[Column14]]))</f>
        <v/>
      </c>
      <c r="AA95" s="237" t="str">
        <f>IF(Table1[[#This Row],[h_hargasebelumdiskon]]="","",IF(Table1[[#This Row],[Column15]]="",0,(Table1[[#This Row],[h_hargasebelumdiskon]]-Table1[[#This Row],[h_disc 1]])*Table1[[#This Row],[Column15]]))</f>
        <v/>
      </c>
      <c r="AB95" s="237" t="str">
        <f>IF(Table1[[#This Row],[Column12]]="","",Table1[[#This Row],[h_disc 1]]+Table1[[#This Row],[h_disc 2]])</f>
        <v/>
      </c>
      <c r="AC95" s="237" t="str">
        <f>IF(Table1[[#This Row],[Column12]]="","",Table1[[#This Row],[h_hargasebelumdiskon]]-Table1[[#This Row],[h_diskon]])</f>
        <v/>
      </c>
      <c r="AD95" s="237" t="str">
        <f ca="1">IF(Table1[[#This Row],[//]]="","",SUMIF(Table1[h_id],Table1[[#This Row],[h_id]],Table1[h_hargasetelahdiskon]))</f>
        <v/>
      </c>
      <c r="AF95" s="237" t="str">
        <f>Table1[[#This Row],[Column12]]&amp;Table1[[#This Row],[Unit]]&amp;Table1[[#This Row],[Column13]]</f>
        <v/>
      </c>
      <c r="AG95"/>
      <c r="AH95"/>
      <c r="AI95"/>
    </row>
    <row r="96" spans="1:35">
      <c r="A96" s="234">
        <f ca="1">IF(Table1[[#This Row],[No. Invoice :]]="","",ROW())</f>
        <v>96</v>
      </c>
      <c r="B96" s="234">
        <f ca="1">IF(Table1[[#This Row],[Column3]]="","",B$1+COUNT(INDIRECT("B$2:B"&amp;ROW()-1)))</f>
        <v>24050013</v>
      </c>
      <c r="C96" s="235">
        <f>IF(Table1[[#This Row],[Column2]]="","",Table1[[#This Row],[Column2]]+C$1-1)</f>
        <v>45422</v>
      </c>
      <c r="D96" s="242">
        <v>10</v>
      </c>
      <c r="E96" s="236" t="s">
        <v>347</v>
      </c>
      <c r="F96" s="234" t="s">
        <v>71</v>
      </c>
      <c r="G96" s="234" t="str">
        <f ca="1">IF(Table1[[#This Row],[h_No. Invoice :]]="","",CONCATENATE("AM"," ",Table1[[#This Row],[h_No. Invoice :]]))</f>
        <v>AM 24050013</v>
      </c>
      <c r="H96" s="234" t="str">
        <f>IF(Table1[[#This Row],[Column5]]="","",INDEX(Table2[Column1],MATCH(Table1[[#This Row],[Column5]],Table2[a],0)))</f>
        <v>KO</v>
      </c>
      <c r="I96" s="234" t="str">
        <f>IF(Table1[[#This Row],[Column3]]=0,"",CONCATENATE(UPPER(Table1[[#This Row],[Column3]])," ",Table1[[#This Row],[Column4]]))</f>
        <v>KO 4807</v>
      </c>
      <c r="J96" s="234" t="str">
        <f>IF(Table1[[#This Row],[Column5]]="","",INDEX(Table2[e],IF(Table1[[#This Row],[Column5]]="","",MATCH(Table1[[#This Row],[Column5]],Table2[a],0)),))</f>
        <v>CV SINAR CAHAYA NIRMALA BREBES</v>
      </c>
      <c r="K96" s="234">
        <v>10</v>
      </c>
      <c r="L96" s="234" t="s">
        <v>200</v>
      </c>
      <c r="N96" s="234" t="s">
        <v>349</v>
      </c>
      <c r="O96" s="234" t="str">
        <f>IF(Table1[[#This Row],[h_Item Description]]="","",INDEX([1]!db[NB PAJAK],MATCH(Table1[[#This Row],[h_Item Description]],[1]!db[kode],0)))</f>
        <v>STIP / PENGHAPUS JOYKO ER-B20BL HITAM</v>
      </c>
      <c r="P96" s="234" t="s">
        <v>355</v>
      </c>
      <c r="Q96" s="237">
        <v>34100</v>
      </c>
      <c r="R96" s="238">
        <v>0.1</v>
      </c>
      <c r="S96" s="238"/>
      <c r="T96" s="237">
        <f>Table1[[#This Row],[h_hargasetelahdiskon]]</f>
        <v>306900</v>
      </c>
      <c r="U96" s="237" t="s">
        <v>239</v>
      </c>
      <c r="V96" s="234"/>
      <c r="W96" s="234">
        <f ca="1">IF(Table1[[#This Row],[Column12]]="","",IF(Table1[[#This Row],[//]]="",INDIRECT(ADDRESS(ROW()-1,COLUMN())),Table1[[#This Row],[//]]))</f>
        <v>96</v>
      </c>
      <c r="X96" s="234">
        <f ca="1">IF(Table1[[#This Row],[h_id]]="","",COUNTIF(Table1[h_id],Table1[[#This Row],[h_id]]))</f>
        <v>9</v>
      </c>
      <c r="Y96" s="237">
        <f>IF(Table1[[#This Row],[Column12]]="","",Table1[[#This Row],[Qty]]*Table1[[#This Row],[Column13]])</f>
        <v>341000</v>
      </c>
      <c r="Z96" s="237">
        <f>IF(Table1[[#This Row],[h_hargasebelumdiskon]]="","",IF(Table1[[#This Row],[Column14]]="",0,Table1[[#This Row],[h_hargasebelumdiskon]]*Table1[[#This Row],[Column14]]))</f>
        <v>34100</v>
      </c>
      <c r="AA96" s="237">
        <f>IF(Table1[[#This Row],[h_hargasebelumdiskon]]="","",IF(Table1[[#This Row],[Column15]]="",0,(Table1[[#This Row],[h_hargasebelumdiskon]]-Table1[[#This Row],[h_disc 1]])*Table1[[#This Row],[Column15]]))</f>
        <v>0</v>
      </c>
      <c r="AB96" s="237">
        <f>IF(Table1[[#This Row],[Column12]]="","",Table1[[#This Row],[h_disc 1]]+Table1[[#This Row],[h_disc 2]])</f>
        <v>34100</v>
      </c>
      <c r="AC96" s="237">
        <f>IF(Table1[[#This Row],[Column12]]="","",Table1[[#This Row],[h_hargasebelumdiskon]]-Table1[[#This Row],[h_diskon]])</f>
        <v>306900</v>
      </c>
      <c r="AD96" s="237">
        <f ca="1">IF(Table1[[#This Row],[//]]="","",SUMIF(Table1[h_id],Table1[[#This Row],[h_id]],Table1[h_hargasetelahdiskon]))</f>
        <v>6161040</v>
      </c>
      <c r="AF96" s="237" t="str">
        <f>Table1[[#This Row],[Column12]]&amp;Table1[[#This Row],[Unit]]&amp;Table1[[#This Row],[Column13]]</f>
        <v>STIP / PENGHAPUS JOYKO ER-B20BL HITAMBOX34100</v>
      </c>
      <c r="AG96"/>
      <c r="AH96"/>
      <c r="AI96"/>
    </row>
    <row r="97" spans="1:35">
      <c r="A97" s="234" t="str">
        <f ca="1">IF(Table1[[#This Row],[No. Invoice :]]="","",ROW())</f>
        <v/>
      </c>
      <c r="B97" s="234" t="str">
        <f ca="1">IF(Table1[[#This Row],[Column3]]="","",B$1+COUNT(INDIRECT("B$2:B"&amp;ROW()-1)))</f>
        <v/>
      </c>
      <c r="C97" s="235" t="str">
        <f>IF(Table1[[#This Row],[Column2]]="","",Table1[[#This Row],[Column2]]+C$1-1)</f>
        <v/>
      </c>
      <c r="E97" s="236"/>
      <c r="F97" s="234"/>
      <c r="G97" s="234" t="str">
        <f ca="1">IF(Table1[[#This Row],[h_No. Invoice :]]="","",CONCATENATE("AM"," ",Table1[[#This Row],[h_No. Invoice :]]))</f>
        <v/>
      </c>
      <c r="H97" s="234" t="str">
        <f>IF(Table1[[#This Row],[Column5]]="","",INDEX(Table2[Column1],MATCH(Table1[[#This Row],[Column5]],Table2[a],0)))</f>
        <v/>
      </c>
      <c r="I97" s="234" t="str">
        <f>IF(Table1[[#This Row],[Column3]]=0,"",CONCATENATE(UPPER(Table1[[#This Row],[Column3]])," ",Table1[[#This Row],[Column4]]))</f>
        <v xml:space="preserve"> </v>
      </c>
      <c r="J97" s="234" t="str">
        <f>IF(Table1[[#This Row],[Column5]]="","",INDEX(Table2[e],IF(Table1[[#This Row],[Column5]]="","",MATCH(Table1[[#This Row],[Column5]],Table2[a],0)),))</f>
        <v/>
      </c>
      <c r="K97" s="234">
        <v>6</v>
      </c>
      <c r="L97" s="234" t="s">
        <v>200</v>
      </c>
      <c r="N97" s="234" t="s">
        <v>350</v>
      </c>
      <c r="O97" s="234" t="str">
        <f>IF(Table1[[#This Row],[h_Item Description]]="","",INDEX([1]!db[NB PAJAK],MATCH(Table1[[#This Row],[h_Item Description]],[1]!db[kode],0)))</f>
        <v>STIP / PENGHAPUS JOYKO 526-B40BL HITAM</v>
      </c>
      <c r="P97" s="234" t="s">
        <v>356</v>
      </c>
      <c r="Q97" s="237">
        <v>28300</v>
      </c>
      <c r="R97" s="238">
        <v>0.1</v>
      </c>
      <c r="S97" s="238"/>
      <c r="T97" s="237">
        <f>Table1[[#This Row],[h_hargasetelahdiskon]]</f>
        <v>152820</v>
      </c>
      <c r="V97" s="234"/>
      <c r="W97" s="234">
        <f ca="1">IF(Table1[[#This Row],[Column12]]="","",IF(Table1[[#This Row],[//]]="",INDIRECT(ADDRESS(ROW()-1,COLUMN())),Table1[[#This Row],[//]]))</f>
        <v>96</v>
      </c>
      <c r="X97" s="234">
        <f ca="1">IF(Table1[[#This Row],[h_id]]="","",COUNTIF(Table1[h_id],Table1[[#This Row],[h_id]]))</f>
        <v>9</v>
      </c>
      <c r="Y97" s="237">
        <f>IF(Table1[[#This Row],[Column12]]="","",Table1[[#This Row],[Qty]]*Table1[[#This Row],[Column13]])</f>
        <v>169800</v>
      </c>
      <c r="Z97" s="237">
        <f>IF(Table1[[#This Row],[h_hargasebelumdiskon]]="","",IF(Table1[[#This Row],[Column14]]="",0,Table1[[#This Row],[h_hargasebelumdiskon]]*Table1[[#This Row],[Column14]]))</f>
        <v>16980</v>
      </c>
      <c r="AA97" s="237">
        <f>IF(Table1[[#This Row],[h_hargasebelumdiskon]]="","",IF(Table1[[#This Row],[Column15]]="",0,(Table1[[#This Row],[h_hargasebelumdiskon]]-Table1[[#This Row],[h_disc 1]])*Table1[[#This Row],[Column15]]))</f>
        <v>0</v>
      </c>
      <c r="AB97" s="237">
        <f>IF(Table1[[#This Row],[Column12]]="","",Table1[[#This Row],[h_disc 1]]+Table1[[#This Row],[h_disc 2]])</f>
        <v>16980</v>
      </c>
      <c r="AC97" s="237">
        <f>IF(Table1[[#This Row],[Column12]]="","",Table1[[#This Row],[h_hargasebelumdiskon]]-Table1[[#This Row],[h_diskon]])</f>
        <v>152820</v>
      </c>
      <c r="AD97" s="237" t="str">
        <f ca="1">IF(Table1[[#This Row],[//]]="","",SUMIF(Table1[h_id],Table1[[#This Row],[h_id]],Table1[h_hargasetelahdiskon]))</f>
        <v/>
      </c>
      <c r="AF97" s="237" t="str">
        <f>Table1[[#This Row],[Column12]]&amp;Table1[[#This Row],[Unit]]&amp;Table1[[#This Row],[Column13]]</f>
        <v>STIP / PENGHAPUS JOYKO 526-B40BL HITAMBOX28300</v>
      </c>
      <c r="AG97"/>
      <c r="AH97"/>
      <c r="AI97"/>
    </row>
    <row r="98" spans="1:35">
      <c r="A98" s="234" t="str">
        <f ca="1">IF(Table1[[#This Row],[No. Invoice :]]="","",ROW())</f>
        <v/>
      </c>
      <c r="B98" s="234" t="str">
        <f ca="1">IF(Table1[[#This Row],[Column3]]="","",B$1+COUNT(INDIRECT("B$2:B"&amp;ROW()-1)))</f>
        <v/>
      </c>
      <c r="C98" s="235" t="str">
        <f>IF(Table1[[#This Row],[Column2]]="","",Table1[[#This Row],[Column2]]+C$1-1)</f>
        <v/>
      </c>
      <c r="E98" s="236"/>
      <c r="F98" s="234"/>
      <c r="G98" s="234" t="str">
        <f ca="1">IF(Table1[[#This Row],[h_No. Invoice :]]="","",CONCATENATE("AM"," ",Table1[[#This Row],[h_No. Invoice :]]))</f>
        <v/>
      </c>
      <c r="H98" s="234" t="str">
        <f>IF(Table1[[#This Row],[Column5]]="","",INDEX(Table2[Column1],MATCH(Table1[[#This Row],[Column5]],Table2[a],0)))</f>
        <v/>
      </c>
      <c r="I98" s="234" t="str">
        <f>IF(Table1[[#This Row],[Column3]]=0,"",CONCATENATE(UPPER(Table1[[#This Row],[Column3]])," ",Table1[[#This Row],[Column4]]))</f>
        <v xml:space="preserve"> </v>
      </c>
      <c r="J98" s="234" t="str">
        <f>IF(Table1[[#This Row],[Column5]]="","",INDEX(Table2[e],IF(Table1[[#This Row],[Column5]]="","",MATCH(Table1[[#This Row],[Column5]],Table2[a],0)),))</f>
        <v/>
      </c>
      <c r="K98" s="234">
        <v>6</v>
      </c>
      <c r="L98" s="234" t="s">
        <v>186</v>
      </c>
      <c r="N98" s="234" t="s">
        <v>351</v>
      </c>
      <c r="O98" s="234" t="str">
        <f>IF(Table1[[#This Row],[h_Item Description]]="","",INDEX([1]!db[NB PAJAK],MATCH(Table1[[#This Row],[h_Item Description]],[1]!db[kode],0)))</f>
        <v>CORRECTION FLUID KENKO KE-826M</v>
      </c>
      <c r="P98" s="234" t="s">
        <v>357</v>
      </c>
      <c r="Q98" s="237">
        <v>62100</v>
      </c>
      <c r="R98" s="238">
        <v>0.1</v>
      </c>
      <c r="S98" s="238"/>
      <c r="T98" s="237">
        <f>Table1[[#This Row],[h_hargasetelahdiskon]]</f>
        <v>335340</v>
      </c>
      <c r="V98" s="234"/>
      <c r="W98" s="234">
        <f ca="1">IF(Table1[[#This Row],[Column12]]="","",IF(Table1[[#This Row],[//]]="",INDIRECT(ADDRESS(ROW()-1,COLUMN())),Table1[[#This Row],[//]]))</f>
        <v>96</v>
      </c>
      <c r="X98" s="234">
        <f ca="1">IF(Table1[[#This Row],[h_id]]="","",COUNTIF(Table1[h_id],Table1[[#This Row],[h_id]]))</f>
        <v>9</v>
      </c>
      <c r="Y98" s="237">
        <f>IF(Table1[[#This Row],[Column12]]="","",Table1[[#This Row],[Qty]]*Table1[[#This Row],[Column13]])</f>
        <v>372600</v>
      </c>
      <c r="Z98" s="237">
        <f>IF(Table1[[#This Row],[h_hargasebelumdiskon]]="","",IF(Table1[[#This Row],[Column14]]="",0,Table1[[#This Row],[h_hargasebelumdiskon]]*Table1[[#This Row],[Column14]]))</f>
        <v>37260</v>
      </c>
      <c r="AA98" s="237">
        <f>IF(Table1[[#This Row],[h_hargasebelumdiskon]]="","",IF(Table1[[#This Row],[Column15]]="",0,(Table1[[#This Row],[h_hargasebelumdiskon]]-Table1[[#This Row],[h_disc 1]])*Table1[[#This Row],[Column15]]))</f>
        <v>0</v>
      </c>
      <c r="AB98" s="237">
        <f>IF(Table1[[#This Row],[Column12]]="","",Table1[[#This Row],[h_disc 1]]+Table1[[#This Row],[h_disc 2]])</f>
        <v>37260</v>
      </c>
      <c r="AC98" s="237">
        <f>IF(Table1[[#This Row],[Column12]]="","",Table1[[#This Row],[h_hargasebelumdiskon]]-Table1[[#This Row],[h_diskon]])</f>
        <v>335340</v>
      </c>
      <c r="AD98" s="237" t="str">
        <f ca="1">IF(Table1[[#This Row],[//]]="","",SUMIF(Table1[h_id],Table1[[#This Row],[h_id]],Table1[h_hargasetelahdiskon]))</f>
        <v/>
      </c>
      <c r="AF98" s="237" t="str">
        <f>Table1[[#This Row],[Column12]]&amp;Table1[[#This Row],[Unit]]&amp;Table1[[#This Row],[Column13]]</f>
        <v>CORRECTION FLUID KENKO KE-826MLSN62100</v>
      </c>
      <c r="AG98"/>
      <c r="AH98"/>
      <c r="AI98"/>
    </row>
    <row r="99" spans="1:35">
      <c r="A99" s="234" t="str">
        <f ca="1">IF(Table1[[#This Row],[No. Invoice :]]="","",ROW())</f>
        <v/>
      </c>
      <c r="B99" s="234" t="str">
        <f ca="1">IF(Table1[[#This Row],[Column3]]="","",B$1+COUNT(INDIRECT("B$2:B"&amp;ROW()-1)))</f>
        <v/>
      </c>
      <c r="C99" s="235" t="str">
        <f>IF(Table1[[#This Row],[Column2]]="","",Table1[[#This Row],[Column2]]+C$1-1)</f>
        <v/>
      </c>
      <c r="E99" s="236"/>
      <c r="F99" s="234"/>
      <c r="G99" s="234" t="str">
        <f ca="1">IF(Table1[[#This Row],[h_No. Invoice :]]="","",CONCATENATE("AM"," ",Table1[[#This Row],[h_No. Invoice :]]))</f>
        <v/>
      </c>
      <c r="H99" s="234" t="str">
        <f>IF(Table1[[#This Row],[Column5]]="","",INDEX(Table2[Column1],MATCH(Table1[[#This Row],[Column5]],Table2[a],0)))</f>
        <v/>
      </c>
      <c r="I99" s="234" t="str">
        <f>IF(Table1[[#This Row],[Column3]]=0,"",CONCATENATE(UPPER(Table1[[#This Row],[Column3]])," ",Table1[[#This Row],[Column4]]))</f>
        <v xml:space="preserve"> </v>
      </c>
      <c r="J99" s="234" t="str">
        <f>IF(Table1[[#This Row],[Column5]]="","",INDEX(Table2[e],IF(Table1[[#This Row],[Column5]]="","",MATCH(Table1[[#This Row],[Column5]],Table2[a],0)),))</f>
        <v/>
      </c>
      <c r="K99" s="234">
        <v>2</v>
      </c>
      <c r="L99" s="234" t="s">
        <v>186</v>
      </c>
      <c r="N99" s="234" t="s">
        <v>282</v>
      </c>
      <c r="O99" s="234" t="str">
        <f>IF(Table1[[#This Row],[h_Item Description]]="","",INDEX([1]!db[NB PAJAK],MATCH(Table1[[#This Row],[h_Item Description]],[1]!db[kode],0)))</f>
        <v>STAPLER KENKO HD-10</v>
      </c>
      <c r="P99" s="234" t="s">
        <v>285</v>
      </c>
      <c r="Q99" s="237">
        <v>93000</v>
      </c>
      <c r="R99" s="238">
        <v>0.1</v>
      </c>
      <c r="S99" s="238"/>
      <c r="T99" s="237">
        <f>Table1[[#This Row],[h_hargasetelahdiskon]]</f>
        <v>167400</v>
      </c>
      <c r="V99" s="234"/>
      <c r="W99" s="234">
        <f ca="1">IF(Table1[[#This Row],[Column12]]="","",IF(Table1[[#This Row],[//]]="",INDIRECT(ADDRESS(ROW()-1,COLUMN())),Table1[[#This Row],[//]]))</f>
        <v>96</v>
      </c>
      <c r="X99" s="234">
        <f ca="1">IF(Table1[[#This Row],[h_id]]="","",COUNTIF(Table1[h_id],Table1[[#This Row],[h_id]]))</f>
        <v>9</v>
      </c>
      <c r="Y99" s="237">
        <f>IF(Table1[[#This Row],[Column12]]="","",Table1[[#This Row],[Qty]]*Table1[[#This Row],[Column13]])</f>
        <v>186000</v>
      </c>
      <c r="Z99" s="237">
        <f>IF(Table1[[#This Row],[h_hargasebelumdiskon]]="","",IF(Table1[[#This Row],[Column14]]="",0,Table1[[#This Row],[h_hargasebelumdiskon]]*Table1[[#This Row],[Column14]]))</f>
        <v>18600</v>
      </c>
      <c r="AA99" s="237">
        <f>IF(Table1[[#This Row],[h_hargasebelumdiskon]]="","",IF(Table1[[#This Row],[Column15]]="",0,(Table1[[#This Row],[h_hargasebelumdiskon]]-Table1[[#This Row],[h_disc 1]])*Table1[[#This Row],[Column15]]))</f>
        <v>0</v>
      </c>
      <c r="AB99" s="237">
        <f>IF(Table1[[#This Row],[Column12]]="","",Table1[[#This Row],[h_disc 1]]+Table1[[#This Row],[h_disc 2]])</f>
        <v>18600</v>
      </c>
      <c r="AC99" s="237">
        <f>IF(Table1[[#This Row],[Column12]]="","",Table1[[#This Row],[h_hargasebelumdiskon]]-Table1[[#This Row],[h_diskon]])</f>
        <v>167400</v>
      </c>
      <c r="AD99" s="237" t="str">
        <f ca="1">IF(Table1[[#This Row],[//]]="","",SUMIF(Table1[h_id],Table1[[#This Row],[h_id]],Table1[h_hargasetelahdiskon]))</f>
        <v/>
      </c>
      <c r="AF99" s="237" t="str">
        <f>Table1[[#This Row],[Column12]]&amp;Table1[[#This Row],[Unit]]&amp;Table1[[#This Row],[Column13]]</f>
        <v>STAPLER KENKO HD-10LSN93000</v>
      </c>
      <c r="AG99"/>
      <c r="AH99"/>
      <c r="AI99"/>
    </row>
    <row r="100" spans="1:35">
      <c r="A100" s="234" t="str">
        <f ca="1">IF(Table1[[#This Row],[No. Invoice :]]="","",ROW())</f>
        <v/>
      </c>
      <c r="B100" s="234" t="str">
        <f ca="1">IF(Table1[[#This Row],[Column3]]="","",B$1+COUNT(INDIRECT("B$2:B"&amp;ROW()-1)))</f>
        <v/>
      </c>
      <c r="C100" s="235" t="str">
        <f>IF(Table1[[#This Row],[Column2]]="","",Table1[[#This Row],[Column2]]+C$1-1)</f>
        <v/>
      </c>
      <c r="E100" s="236"/>
      <c r="F100" s="234"/>
      <c r="G100" s="234" t="str">
        <f ca="1">IF(Table1[[#This Row],[h_No. Invoice :]]="","",CONCATENATE("AM"," ",Table1[[#This Row],[h_No. Invoice :]]))</f>
        <v/>
      </c>
      <c r="H100" s="234" t="str">
        <f>IF(Table1[[#This Row],[Column5]]="","",INDEX(Table2[Column1],MATCH(Table1[[#This Row],[Column5]],Table2[a],0)))</f>
        <v/>
      </c>
      <c r="I100" s="234" t="str">
        <f>IF(Table1[[#This Row],[Column3]]=0,"",CONCATENATE(UPPER(Table1[[#This Row],[Column3]])," ",Table1[[#This Row],[Column4]]))</f>
        <v xml:space="preserve"> </v>
      </c>
      <c r="J100" s="234" t="str">
        <f>IF(Table1[[#This Row],[Column5]]="","",INDEX(Table2[e],IF(Table1[[#This Row],[Column5]]="","",MATCH(Table1[[#This Row],[Column5]],Table2[a],0)),))</f>
        <v/>
      </c>
      <c r="K100" s="234">
        <v>1</v>
      </c>
      <c r="L100" s="234" t="s">
        <v>186</v>
      </c>
      <c r="N100" s="234" t="s">
        <v>352</v>
      </c>
      <c r="O100" s="234" t="str">
        <f>IF(Table1[[#This Row],[h_Item Description]]="","",INDEX([1]!db[NB PAJAK],MATCH(Table1[[#This Row],[h_Item Description]],[1]!db[kode],0)))</f>
        <v>PAPER CLIP WARNA KENKO 3100</v>
      </c>
      <c r="P100" s="234" t="s">
        <v>358</v>
      </c>
      <c r="Q100" s="237">
        <v>41400</v>
      </c>
      <c r="R100" s="238">
        <v>0.1</v>
      </c>
      <c r="S100" s="238"/>
      <c r="T100" s="237">
        <f>Table1[[#This Row],[h_hargasetelahdiskon]]</f>
        <v>37260</v>
      </c>
      <c r="V100" s="234"/>
      <c r="W100" s="234">
        <f ca="1">IF(Table1[[#This Row],[Column12]]="","",IF(Table1[[#This Row],[//]]="",INDIRECT(ADDRESS(ROW()-1,COLUMN())),Table1[[#This Row],[//]]))</f>
        <v>96</v>
      </c>
      <c r="X100" s="234">
        <f ca="1">IF(Table1[[#This Row],[h_id]]="","",COUNTIF(Table1[h_id],Table1[[#This Row],[h_id]]))</f>
        <v>9</v>
      </c>
      <c r="Y100" s="237">
        <f>IF(Table1[[#This Row],[Column12]]="","",Table1[[#This Row],[Qty]]*Table1[[#This Row],[Column13]])</f>
        <v>41400</v>
      </c>
      <c r="Z100" s="237">
        <f>IF(Table1[[#This Row],[h_hargasebelumdiskon]]="","",IF(Table1[[#This Row],[Column14]]="",0,Table1[[#This Row],[h_hargasebelumdiskon]]*Table1[[#This Row],[Column14]]))</f>
        <v>4140</v>
      </c>
      <c r="AA100" s="237">
        <f>IF(Table1[[#This Row],[h_hargasebelumdiskon]]="","",IF(Table1[[#This Row],[Column15]]="",0,(Table1[[#This Row],[h_hargasebelumdiskon]]-Table1[[#This Row],[h_disc 1]])*Table1[[#This Row],[Column15]]))</f>
        <v>0</v>
      </c>
      <c r="AB100" s="237">
        <f>IF(Table1[[#This Row],[Column12]]="","",Table1[[#This Row],[h_disc 1]]+Table1[[#This Row],[h_disc 2]])</f>
        <v>4140</v>
      </c>
      <c r="AC100" s="237">
        <f>IF(Table1[[#This Row],[Column12]]="","",Table1[[#This Row],[h_hargasebelumdiskon]]-Table1[[#This Row],[h_diskon]])</f>
        <v>37260</v>
      </c>
      <c r="AD100" s="237" t="str">
        <f ca="1">IF(Table1[[#This Row],[//]]="","",SUMIF(Table1[h_id],Table1[[#This Row],[h_id]],Table1[h_hargasetelahdiskon]))</f>
        <v/>
      </c>
      <c r="AF100" s="237" t="str">
        <f>Table1[[#This Row],[Column12]]&amp;Table1[[#This Row],[Unit]]&amp;Table1[[#This Row],[Column13]]</f>
        <v>PAPER CLIP WARNA KENKO 3100LSN41400</v>
      </c>
      <c r="AG100"/>
      <c r="AH100"/>
      <c r="AI100"/>
    </row>
    <row r="101" spans="1:35">
      <c r="A101" s="234" t="str">
        <f ca="1">IF(Table1[[#This Row],[No. Invoice :]]="","",ROW())</f>
        <v/>
      </c>
      <c r="B101" s="234" t="str">
        <f ca="1">IF(Table1[[#This Row],[Column3]]="","",B$1+COUNT(INDIRECT("B$2:B"&amp;ROW()-1)))</f>
        <v/>
      </c>
      <c r="C101" s="235" t="str">
        <f>IF(Table1[[#This Row],[Column2]]="","",Table1[[#This Row],[Column2]]+C$1-1)</f>
        <v/>
      </c>
      <c r="E101" s="236"/>
      <c r="F101" s="234"/>
      <c r="G101" s="234" t="str">
        <f ca="1">IF(Table1[[#This Row],[h_No. Invoice :]]="","",CONCATENATE("AM"," ",Table1[[#This Row],[h_No. Invoice :]]))</f>
        <v/>
      </c>
      <c r="H101" s="234" t="str">
        <f>IF(Table1[[#This Row],[Column5]]="","",INDEX(Table2[Column1],MATCH(Table1[[#This Row],[Column5]],Table2[a],0)))</f>
        <v/>
      </c>
      <c r="I101" s="234" t="str">
        <f>IF(Table1[[#This Row],[Column3]]=0,"",CONCATENATE(UPPER(Table1[[#This Row],[Column3]])," ",Table1[[#This Row],[Column4]]))</f>
        <v xml:space="preserve"> </v>
      </c>
      <c r="J101" s="234" t="str">
        <f>IF(Table1[[#This Row],[Column5]]="","",INDEX(Table2[e],IF(Table1[[#This Row],[Column5]]="","",MATCH(Table1[[#This Row],[Column5]],Table2[a],0)),))</f>
        <v/>
      </c>
      <c r="K101" s="234">
        <v>72</v>
      </c>
      <c r="L101" s="234" t="s">
        <v>348</v>
      </c>
      <c r="O101" s="234" t="str">
        <f>IF(Table1[[#This Row],[h_Item Description]]="","",INDEX([1]!db[NB PAJAK],MATCH(Table1[[#This Row],[h_Item Description]],[1]!db[kode],0)))</f>
        <v/>
      </c>
      <c r="P101" s="45" t="s">
        <v>354</v>
      </c>
      <c r="Q101" s="237">
        <v>10000</v>
      </c>
      <c r="R101" s="238">
        <v>0.1</v>
      </c>
      <c r="S101" s="238"/>
      <c r="T101" s="237">
        <f>Table1[[#This Row],[h_hargasetelahdiskon]]</f>
        <v>648000</v>
      </c>
      <c r="V101" s="234"/>
      <c r="W101" s="234">
        <f ca="1">IF(Table1[[#This Row],[Column12]]="","",IF(Table1[[#This Row],[//]]="",INDIRECT(ADDRESS(ROW()-1,COLUMN())),Table1[[#This Row],[//]]))</f>
        <v>96</v>
      </c>
      <c r="X101" s="234">
        <f ca="1">IF(Table1[[#This Row],[h_id]]="","",COUNTIF(Table1[h_id],Table1[[#This Row],[h_id]]))</f>
        <v>9</v>
      </c>
      <c r="Y101" s="237">
        <f>IF(Table1[[#This Row],[Column12]]="","",Table1[[#This Row],[Qty]]*Table1[[#This Row],[Column13]])</f>
        <v>720000</v>
      </c>
      <c r="Z101" s="237">
        <f>IF(Table1[[#This Row],[h_hargasebelumdiskon]]="","",IF(Table1[[#This Row],[Column14]]="",0,Table1[[#This Row],[h_hargasebelumdiskon]]*Table1[[#This Row],[Column14]]))</f>
        <v>72000</v>
      </c>
      <c r="AA101" s="237">
        <f>IF(Table1[[#This Row],[h_hargasebelumdiskon]]="","",IF(Table1[[#This Row],[Column15]]="",0,(Table1[[#This Row],[h_hargasebelumdiskon]]-Table1[[#This Row],[h_disc 1]])*Table1[[#This Row],[Column15]]))</f>
        <v>0</v>
      </c>
      <c r="AB101" s="237">
        <f>IF(Table1[[#This Row],[Column12]]="","",Table1[[#This Row],[h_disc 1]]+Table1[[#This Row],[h_disc 2]])</f>
        <v>72000</v>
      </c>
      <c r="AC101" s="237">
        <f>IF(Table1[[#This Row],[Column12]]="","",Table1[[#This Row],[h_hargasebelumdiskon]]-Table1[[#This Row],[h_diskon]])</f>
        <v>648000</v>
      </c>
      <c r="AD101" s="237" t="str">
        <f ca="1">IF(Table1[[#This Row],[//]]="","",SUMIF(Table1[h_id],Table1[[#This Row],[h_id]],Table1[h_hargasetelahdiskon]))</f>
        <v/>
      </c>
      <c r="AF101" s="237" t="str">
        <f>Table1[[#This Row],[Column12]]&amp;Table1[[#This Row],[Unit]]&amp;Table1[[#This Row],[Column13]]</f>
        <v>PLAKBAND BENING 80 M KENKO 48 MM RED COREROL10000</v>
      </c>
      <c r="AG101"/>
      <c r="AH101"/>
      <c r="AI101"/>
    </row>
    <row r="102" spans="1:35">
      <c r="A102" s="234" t="str">
        <f ca="1">IF(Table1[[#This Row],[No. Invoice :]]="","",ROW())</f>
        <v/>
      </c>
      <c r="B102" s="234" t="str">
        <f ca="1">IF(Table1[[#This Row],[Column3]]="","",B$1+COUNT(INDIRECT("B$2:B"&amp;ROW()-1)))</f>
        <v/>
      </c>
      <c r="C102" s="235" t="str">
        <f>IF(Table1[[#This Row],[Column2]]="","",Table1[[#This Row],[Column2]]+C$1-1)</f>
        <v/>
      </c>
      <c r="E102" s="236"/>
      <c r="F102" s="234"/>
      <c r="G102" s="234" t="str">
        <f ca="1">IF(Table1[[#This Row],[h_No. Invoice :]]="","",CONCATENATE("AM"," ",Table1[[#This Row],[h_No. Invoice :]]))</f>
        <v/>
      </c>
      <c r="H102" s="234" t="str">
        <f>IF(Table1[[#This Row],[Column5]]="","",INDEX(Table2[Column1],MATCH(Table1[[#This Row],[Column5]],Table2[a],0)))</f>
        <v/>
      </c>
      <c r="I102" s="234" t="str">
        <f>IF(Table1[[#This Row],[Column3]]=0,"",CONCATENATE(UPPER(Table1[[#This Row],[Column3]])," ",Table1[[#This Row],[Column4]]))</f>
        <v xml:space="preserve"> </v>
      </c>
      <c r="J102" s="234" t="str">
        <f>IF(Table1[[#This Row],[Column5]]="","",INDEX(Table2[e],IF(Table1[[#This Row],[Column5]]="","",MATCH(Table1[[#This Row],[Column5]],Table2[a],0)),))</f>
        <v/>
      </c>
      <c r="K102" s="234">
        <v>144</v>
      </c>
      <c r="L102" s="234" t="s">
        <v>197</v>
      </c>
      <c r="N102" s="234" t="s">
        <v>216</v>
      </c>
      <c r="O102" s="234" t="str">
        <f>IF(Table1[[#This Row],[h_Item Description]]="","",INDEX([1]!db[NB PAJAK],MATCH(Table1[[#This Row],[h_Item Description]],[1]!db[kode],0)))</f>
        <v>CRAYON / OIL PASTEL JOYKO OP-12S PP CASE SEA WORLD</v>
      </c>
      <c r="P102" s="234" t="s">
        <v>220</v>
      </c>
      <c r="Q102" s="237">
        <v>12300</v>
      </c>
      <c r="R102" s="238">
        <v>0.1</v>
      </c>
      <c r="S102" s="238"/>
      <c r="T102" s="237">
        <f>Table1[[#This Row],[h_hargasetelahdiskon]]</f>
        <v>1594080</v>
      </c>
      <c r="V102" s="234"/>
      <c r="W102" s="234">
        <f ca="1">IF(Table1[[#This Row],[Column12]]="","",IF(Table1[[#This Row],[//]]="",INDIRECT(ADDRESS(ROW()-1,COLUMN())),Table1[[#This Row],[//]]))</f>
        <v>96</v>
      </c>
      <c r="X102" s="234">
        <f ca="1">IF(Table1[[#This Row],[h_id]]="","",COUNTIF(Table1[h_id],Table1[[#This Row],[h_id]]))</f>
        <v>9</v>
      </c>
      <c r="Y102" s="237">
        <f>IF(Table1[[#This Row],[Column12]]="","",Table1[[#This Row],[Qty]]*Table1[[#This Row],[Column13]])</f>
        <v>1771200</v>
      </c>
      <c r="Z102" s="237">
        <f>IF(Table1[[#This Row],[h_hargasebelumdiskon]]="","",IF(Table1[[#This Row],[Column14]]="",0,Table1[[#This Row],[h_hargasebelumdiskon]]*Table1[[#This Row],[Column14]]))</f>
        <v>177120</v>
      </c>
      <c r="AA102" s="237">
        <f>IF(Table1[[#This Row],[h_hargasebelumdiskon]]="","",IF(Table1[[#This Row],[Column15]]="",0,(Table1[[#This Row],[h_hargasebelumdiskon]]-Table1[[#This Row],[h_disc 1]])*Table1[[#This Row],[Column15]]))</f>
        <v>0</v>
      </c>
      <c r="AB102" s="237">
        <f>IF(Table1[[#This Row],[Column12]]="","",Table1[[#This Row],[h_disc 1]]+Table1[[#This Row],[h_disc 2]])</f>
        <v>177120</v>
      </c>
      <c r="AC102" s="237">
        <f>IF(Table1[[#This Row],[Column12]]="","",Table1[[#This Row],[h_hargasebelumdiskon]]-Table1[[#This Row],[h_diskon]])</f>
        <v>1594080</v>
      </c>
      <c r="AD102" s="237" t="str">
        <f ca="1">IF(Table1[[#This Row],[//]]="","",SUMIF(Table1[h_id],Table1[[#This Row],[h_id]],Table1[h_hargasetelahdiskon]))</f>
        <v/>
      </c>
      <c r="AF102" s="237" t="str">
        <f>Table1[[#This Row],[Column12]]&amp;Table1[[#This Row],[Unit]]&amp;Table1[[#This Row],[Column13]]</f>
        <v>CRAYON / OIL PASTEL JOYKO OP-12S PP CASE SEA WORLDPCS12300</v>
      </c>
      <c r="AG102"/>
      <c r="AH102"/>
      <c r="AI102"/>
    </row>
    <row r="103" spans="1:35">
      <c r="A103" s="234" t="str">
        <f ca="1">IF(Table1[[#This Row],[No. Invoice :]]="","",ROW())</f>
        <v/>
      </c>
      <c r="B103" s="234" t="str">
        <f ca="1">IF(Table1[[#This Row],[Column3]]="","",B$1+COUNT(INDIRECT("B$2:B"&amp;ROW()-1)))</f>
        <v/>
      </c>
      <c r="C103" s="235" t="str">
        <f>IF(Table1[[#This Row],[Column2]]="","",Table1[[#This Row],[Column2]]+C$1-1)</f>
        <v/>
      </c>
      <c r="E103" s="236"/>
      <c r="F103" s="234"/>
      <c r="G103" s="234" t="str">
        <f ca="1">IF(Table1[[#This Row],[h_No. Invoice :]]="","",CONCATENATE("AM"," ",Table1[[#This Row],[h_No. Invoice :]]))</f>
        <v/>
      </c>
      <c r="H103" s="234" t="str">
        <f>IF(Table1[[#This Row],[Column5]]="","",INDEX(Table2[Column1],MATCH(Table1[[#This Row],[Column5]],Table2[a],0)))</f>
        <v/>
      </c>
      <c r="I103" s="234" t="str">
        <f>IF(Table1[[#This Row],[Column3]]=0,"",CONCATENATE(UPPER(Table1[[#This Row],[Column3]])," ",Table1[[#This Row],[Column4]]))</f>
        <v xml:space="preserve"> </v>
      </c>
      <c r="J103" s="234" t="str">
        <f>IF(Table1[[#This Row],[Column5]]="","",INDEX(Table2[e],IF(Table1[[#This Row],[Column5]]="","",MATCH(Table1[[#This Row],[Column5]],Table2[a],0)),))</f>
        <v/>
      </c>
      <c r="K103" s="234">
        <v>72</v>
      </c>
      <c r="L103" s="234" t="s">
        <v>197</v>
      </c>
      <c r="N103" s="234" t="s">
        <v>353</v>
      </c>
      <c r="O103" s="234" t="str">
        <f>IF(Table1[[#This Row],[h_Item Description]]="","",INDEX([1]!db[NB PAJAK],MATCH(Table1[[#This Row],[h_Item Description]],[1]!db[kode],0)))</f>
        <v>CRAYON / OIL PASTEL JOYKO OP-18S PP CASE SEA WORLD</v>
      </c>
      <c r="P103" s="234" t="s">
        <v>359</v>
      </c>
      <c r="Q103" s="237">
        <v>23700</v>
      </c>
      <c r="R103" s="238">
        <v>0.1</v>
      </c>
      <c r="S103" s="238"/>
      <c r="T103" s="237">
        <f>Table1[[#This Row],[h_hargasetelahdiskon]]</f>
        <v>1535760</v>
      </c>
      <c r="V103" s="234"/>
      <c r="W103" s="234">
        <f ca="1">IF(Table1[[#This Row],[Column12]]="","",IF(Table1[[#This Row],[//]]="",INDIRECT(ADDRESS(ROW()-1,COLUMN())),Table1[[#This Row],[//]]))</f>
        <v>96</v>
      </c>
      <c r="X103" s="234">
        <f ca="1">IF(Table1[[#This Row],[h_id]]="","",COUNTIF(Table1[h_id],Table1[[#This Row],[h_id]]))</f>
        <v>9</v>
      </c>
      <c r="Y103" s="237">
        <f>IF(Table1[[#This Row],[Column12]]="","",Table1[[#This Row],[Qty]]*Table1[[#This Row],[Column13]])</f>
        <v>1706400</v>
      </c>
      <c r="Z103" s="237">
        <f>IF(Table1[[#This Row],[h_hargasebelumdiskon]]="","",IF(Table1[[#This Row],[Column14]]="",0,Table1[[#This Row],[h_hargasebelumdiskon]]*Table1[[#This Row],[Column14]]))</f>
        <v>170640</v>
      </c>
      <c r="AA103" s="237">
        <f>IF(Table1[[#This Row],[h_hargasebelumdiskon]]="","",IF(Table1[[#This Row],[Column15]]="",0,(Table1[[#This Row],[h_hargasebelumdiskon]]-Table1[[#This Row],[h_disc 1]])*Table1[[#This Row],[Column15]]))</f>
        <v>0</v>
      </c>
      <c r="AB103" s="237">
        <f>IF(Table1[[#This Row],[Column12]]="","",Table1[[#This Row],[h_disc 1]]+Table1[[#This Row],[h_disc 2]])</f>
        <v>170640</v>
      </c>
      <c r="AC103" s="237">
        <f>IF(Table1[[#This Row],[Column12]]="","",Table1[[#This Row],[h_hargasebelumdiskon]]-Table1[[#This Row],[h_diskon]])</f>
        <v>1535760</v>
      </c>
      <c r="AD103" s="237" t="str">
        <f ca="1">IF(Table1[[#This Row],[//]]="","",SUMIF(Table1[h_id],Table1[[#This Row],[h_id]],Table1[h_hargasetelahdiskon]))</f>
        <v/>
      </c>
      <c r="AF103" s="237" t="str">
        <f>Table1[[#This Row],[Column12]]&amp;Table1[[#This Row],[Unit]]&amp;Table1[[#This Row],[Column13]]</f>
        <v>CRAYON / OIL PASTEL JOYKO OP-18S PP CASE SEA WORLDPCS23700</v>
      </c>
      <c r="AG103"/>
      <c r="AH103"/>
      <c r="AI103"/>
    </row>
    <row r="104" spans="1:35">
      <c r="A104" s="234" t="str">
        <f ca="1">IF(Table1[[#This Row],[No. Invoice :]]="","",ROW())</f>
        <v/>
      </c>
      <c r="B104" s="234" t="str">
        <f ca="1">IF(Table1[[#This Row],[Column3]]="","",B$1+COUNT(INDIRECT("B$2:B"&amp;ROW()-1)))</f>
        <v/>
      </c>
      <c r="C104" s="235" t="str">
        <f>IF(Table1[[#This Row],[Column2]]="","",Table1[[#This Row],[Column2]]+C$1-1)</f>
        <v/>
      </c>
      <c r="E104" s="236"/>
      <c r="F104" s="234"/>
      <c r="G104" s="234" t="str">
        <f ca="1">IF(Table1[[#This Row],[h_No. Invoice :]]="","",CONCATENATE("AM"," ",Table1[[#This Row],[h_No. Invoice :]]))</f>
        <v/>
      </c>
      <c r="H104" s="234" t="str">
        <f>IF(Table1[[#This Row],[Column5]]="","",INDEX(Table2[Column1],MATCH(Table1[[#This Row],[Column5]],Table2[a],0)))</f>
        <v/>
      </c>
      <c r="I104" s="234" t="str">
        <f>IF(Table1[[#This Row],[Column3]]=0,"",CONCATENATE(UPPER(Table1[[#This Row],[Column3]])," ",Table1[[#This Row],[Column4]]))</f>
        <v xml:space="preserve"> </v>
      </c>
      <c r="J104" s="234" t="str">
        <f>IF(Table1[[#This Row],[Column5]]="","",INDEX(Table2[e],IF(Table1[[#This Row],[Column5]]="","",MATCH(Table1[[#This Row],[Column5]],Table2[a],0)),))</f>
        <v/>
      </c>
      <c r="K104" s="234">
        <v>36</v>
      </c>
      <c r="L104" s="234" t="s">
        <v>197</v>
      </c>
      <c r="N104" s="234" t="s">
        <v>217</v>
      </c>
      <c r="O104" s="234" t="str">
        <f>IF(Table1[[#This Row],[h_Item Description]]="","",INDEX([1]!db[NB PAJAK],MATCH(Table1[[#This Row],[h_Item Description]],[1]!db[kode],0)))</f>
        <v>CRAYON / OIL PASTEL JOYKO OP-36S PP CASE SEA WORLD</v>
      </c>
      <c r="P104" s="234" t="s">
        <v>221</v>
      </c>
      <c r="Q104" s="237">
        <v>42700</v>
      </c>
      <c r="R104" s="238">
        <v>0.1</v>
      </c>
      <c r="S104" s="238"/>
      <c r="T104" s="237">
        <f>Table1[[#This Row],[h_hargasetelahdiskon]]</f>
        <v>1383480</v>
      </c>
      <c r="V104" s="234"/>
      <c r="W104" s="234">
        <f ca="1">IF(Table1[[#This Row],[Column12]]="","",IF(Table1[[#This Row],[//]]="",INDIRECT(ADDRESS(ROW()-1,COLUMN())),Table1[[#This Row],[//]]))</f>
        <v>96</v>
      </c>
      <c r="X104" s="234">
        <f ca="1">IF(Table1[[#This Row],[h_id]]="","",COUNTIF(Table1[h_id],Table1[[#This Row],[h_id]]))</f>
        <v>9</v>
      </c>
      <c r="Y104" s="237">
        <f>IF(Table1[[#This Row],[Column12]]="","",Table1[[#This Row],[Qty]]*Table1[[#This Row],[Column13]])</f>
        <v>1537200</v>
      </c>
      <c r="Z104" s="237">
        <f>IF(Table1[[#This Row],[h_hargasebelumdiskon]]="","",IF(Table1[[#This Row],[Column14]]="",0,Table1[[#This Row],[h_hargasebelumdiskon]]*Table1[[#This Row],[Column14]]))</f>
        <v>153720</v>
      </c>
      <c r="AA104" s="237">
        <f>IF(Table1[[#This Row],[h_hargasebelumdiskon]]="","",IF(Table1[[#This Row],[Column15]]="",0,(Table1[[#This Row],[h_hargasebelumdiskon]]-Table1[[#This Row],[h_disc 1]])*Table1[[#This Row],[Column15]]))</f>
        <v>0</v>
      </c>
      <c r="AB104" s="237">
        <f>IF(Table1[[#This Row],[Column12]]="","",Table1[[#This Row],[h_disc 1]]+Table1[[#This Row],[h_disc 2]])</f>
        <v>153720</v>
      </c>
      <c r="AC104" s="237">
        <f>IF(Table1[[#This Row],[Column12]]="","",Table1[[#This Row],[h_hargasebelumdiskon]]-Table1[[#This Row],[h_diskon]])</f>
        <v>1383480</v>
      </c>
      <c r="AD104" s="237" t="str">
        <f ca="1">IF(Table1[[#This Row],[//]]="","",SUMIF(Table1[h_id],Table1[[#This Row],[h_id]],Table1[h_hargasetelahdiskon]))</f>
        <v/>
      </c>
      <c r="AF104" s="237" t="str">
        <f>Table1[[#This Row],[Column12]]&amp;Table1[[#This Row],[Unit]]&amp;Table1[[#This Row],[Column13]]</f>
        <v>CRAYON / OIL PASTEL JOYKO OP-36S PP CASE SEA WORLDPCS42700</v>
      </c>
      <c r="AG104"/>
      <c r="AH104"/>
      <c r="AI104"/>
    </row>
    <row r="105" spans="1:35">
      <c r="A105" s="234" t="str">
        <f ca="1">IF(Table1[[#This Row],[No. Invoice :]]="","",ROW())</f>
        <v/>
      </c>
      <c r="B105" s="234" t="str">
        <f ca="1">IF(Table1[[#This Row],[Column3]]="","",B$1+COUNT(INDIRECT("B$2:B"&amp;ROW()-1)))</f>
        <v/>
      </c>
      <c r="C105" s="235" t="str">
        <f>IF(Table1[[#This Row],[Column2]]="","",Table1[[#This Row],[Column2]]+C$1-1)</f>
        <v/>
      </c>
      <c r="E105" s="236"/>
      <c r="F105" s="234"/>
      <c r="G105" s="234" t="str">
        <f ca="1">IF(Table1[[#This Row],[h_No. Invoice :]]="","",CONCATENATE("AM"," ",Table1[[#This Row],[h_No. Invoice :]]))</f>
        <v/>
      </c>
      <c r="H105" s="234" t="str">
        <f>IF(Table1[[#This Row],[Column5]]="","",INDEX(Table2[Column1],MATCH(Table1[[#This Row],[Column5]],Table2[a],0)))</f>
        <v/>
      </c>
      <c r="I105" s="234" t="str">
        <f>IF(Table1[[#This Row],[Column3]]=0,"",CONCATENATE(UPPER(Table1[[#This Row],[Column3]])," ",Table1[[#This Row],[Column4]]))</f>
        <v xml:space="preserve"> </v>
      </c>
      <c r="J105" s="234" t="str">
        <f>IF(Table1[[#This Row],[Column5]]="","",INDEX(Table2[e],IF(Table1[[#This Row],[Column5]]="","",MATCH(Table1[[#This Row],[Column5]],Table2[a],0)),))</f>
        <v/>
      </c>
      <c r="K105" s="234"/>
      <c r="L105" s="234"/>
      <c r="O105" s="234" t="str">
        <f>IF(Table1[[#This Row],[h_Item Description]]="","",INDEX([1]!db[NB PAJAK],MATCH(Table1[[#This Row],[h_Item Description]],[1]!db[kode],0)))</f>
        <v/>
      </c>
      <c r="Q105" s="237"/>
      <c r="R105" s="238"/>
      <c r="S105" s="238"/>
      <c r="T105" s="237" t="str">
        <f>Table1[[#This Row],[h_hargasetelahdiskon]]</f>
        <v/>
      </c>
      <c r="V105" s="234"/>
      <c r="W105" s="234" t="str">
        <f ca="1">IF(Table1[[#This Row],[Column12]]="","",IF(Table1[[#This Row],[//]]="",INDIRECT(ADDRESS(ROW()-1,COLUMN())),Table1[[#This Row],[//]]))</f>
        <v/>
      </c>
      <c r="X105" s="234" t="str">
        <f ca="1">IF(Table1[[#This Row],[h_id]]="","",COUNTIF(Table1[h_id],Table1[[#This Row],[h_id]]))</f>
        <v/>
      </c>
      <c r="Y105" s="237" t="str">
        <f>IF(Table1[[#This Row],[Column12]]="","",Table1[[#This Row],[Qty]]*Table1[[#This Row],[Column13]])</f>
        <v/>
      </c>
      <c r="Z105" s="237" t="str">
        <f>IF(Table1[[#This Row],[h_hargasebelumdiskon]]="","",IF(Table1[[#This Row],[Column14]]="",0,Table1[[#This Row],[h_hargasebelumdiskon]]*Table1[[#This Row],[Column14]]))</f>
        <v/>
      </c>
      <c r="AA105" s="237" t="str">
        <f>IF(Table1[[#This Row],[h_hargasebelumdiskon]]="","",IF(Table1[[#This Row],[Column15]]="",0,(Table1[[#This Row],[h_hargasebelumdiskon]]-Table1[[#This Row],[h_disc 1]])*Table1[[#This Row],[Column15]]))</f>
        <v/>
      </c>
      <c r="AB105" s="237" t="str">
        <f>IF(Table1[[#This Row],[Column12]]="","",Table1[[#This Row],[h_disc 1]]+Table1[[#This Row],[h_disc 2]])</f>
        <v/>
      </c>
      <c r="AC105" s="237" t="str">
        <f>IF(Table1[[#This Row],[Column12]]="","",Table1[[#This Row],[h_hargasebelumdiskon]]-Table1[[#This Row],[h_diskon]])</f>
        <v/>
      </c>
      <c r="AD105" s="237" t="str">
        <f ca="1">IF(Table1[[#This Row],[//]]="","",SUMIF(Table1[h_id],Table1[[#This Row],[h_id]],Table1[h_hargasetelahdiskon]))</f>
        <v/>
      </c>
      <c r="AF105" s="237" t="str">
        <f>Table1[[#This Row],[Column12]]&amp;Table1[[#This Row],[Unit]]&amp;Table1[[#This Row],[Column13]]</f>
        <v/>
      </c>
      <c r="AG105"/>
      <c r="AH105"/>
      <c r="AI105"/>
    </row>
    <row r="106" spans="1:35">
      <c r="A106" s="234">
        <f ca="1">IF(Table1[[#This Row],[No. Invoice :]]="","",ROW())</f>
        <v>106</v>
      </c>
      <c r="B106" s="234">
        <f ca="1">IF(Table1[[#This Row],[Column3]]="","",B$1+COUNT(INDIRECT("B$2:B"&amp;ROW()-1)))</f>
        <v>24050014</v>
      </c>
      <c r="C106" s="235">
        <f>IF(Table1[[#This Row],[Column2]]="","",Table1[[#This Row],[Column2]]+C$1-1)</f>
        <v>45423</v>
      </c>
      <c r="D106" s="242">
        <v>11</v>
      </c>
      <c r="E106" s="236" t="s">
        <v>361</v>
      </c>
      <c r="F106" s="234" t="s">
        <v>80</v>
      </c>
      <c r="G106" s="234" t="str">
        <f ca="1">IF(Table1[[#This Row],[h_No. Invoice :]]="","",CONCATENATE("AM"," ",Table1[[#This Row],[h_No. Invoice :]]))</f>
        <v>AM 24050014</v>
      </c>
      <c r="H106" s="234" t="str">
        <f>IF(Table1[[#This Row],[Column5]]="","",INDEX(Table2[Column1],MATCH(Table1[[#This Row],[Column5]],Table2[a],0)))</f>
        <v>KO</v>
      </c>
      <c r="I106" s="234" t="str">
        <f>IF(Table1[[#This Row],[Column3]]=0,"",CONCATENATE(UPPER(Table1[[#This Row],[Column3]])," ",Table1[[#This Row],[Column4]]))</f>
        <v>KO 4739</v>
      </c>
      <c r="J106" s="234" t="str">
        <f>IF(Table1[[#This Row],[Column5]]="","",INDEX(Table2[e],IF(Table1[[#This Row],[Column5]]="","",MATCH(Table1[[#This Row],[Column5]],Table2[a],0)),))</f>
        <v>CV PELITA JAYA (ANUGERAH SEJAHTERA) PURWOKERTO</v>
      </c>
      <c r="K106" s="234">
        <v>432</v>
      </c>
      <c r="L106" s="234" t="s">
        <v>186</v>
      </c>
      <c r="M106" s="234">
        <v>3</v>
      </c>
      <c r="N106" s="234" t="s">
        <v>362</v>
      </c>
      <c r="O106" s="234" t="str">
        <f>IF(Table1[[#This Row],[h_Item Description]]="","",INDEX([1]!db[NB PAJAK],MATCH(Table1[[#This Row],[h_Item Description]],[1]!db[kode],0)))</f>
        <v>GEL PEN KENKO EASY GEL 0.3MM HITAM</v>
      </c>
      <c r="P106" s="234" t="s">
        <v>364</v>
      </c>
      <c r="Q106" s="237">
        <v>26100</v>
      </c>
      <c r="R106" s="238">
        <v>0.13500000000000001</v>
      </c>
      <c r="S106" s="238"/>
      <c r="T106" s="237">
        <f>Table1[[#This Row],[h_hargasetelahdiskon]]</f>
        <v>9753048</v>
      </c>
      <c r="U106" s="237" t="s">
        <v>129</v>
      </c>
      <c r="V106" s="234"/>
      <c r="W106" s="234">
        <f ca="1">IF(Table1[[#This Row],[Column12]]="","",IF(Table1[[#This Row],[//]]="",INDIRECT(ADDRESS(ROW()-1,COLUMN())),Table1[[#This Row],[//]]))</f>
        <v>106</v>
      </c>
      <c r="X106" s="234">
        <f ca="1">IF(Table1[[#This Row],[h_id]]="","",COUNTIF(Table1[h_id],Table1[[#This Row],[h_id]]))</f>
        <v>2</v>
      </c>
      <c r="Y106" s="237">
        <f>IF(Table1[[#This Row],[Column12]]="","",Table1[[#This Row],[Qty]]*Table1[[#This Row],[Column13]])</f>
        <v>11275200</v>
      </c>
      <c r="Z106" s="237">
        <f>IF(Table1[[#This Row],[h_hargasebelumdiskon]]="","",IF(Table1[[#This Row],[Column14]]="",0,Table1[[#This Row],[h_hargasebelumdiskon]]*Table1[[#This Row],[Column14]]))</f>
        <v>1522152</v>
      </c>
      <c r="AA106" s="237">
        <f>IF(Table1[[#This Row],[h_hargasebelumdiskon]]="","",IF(Table1[[#This Row],[Column15]]="",0,(Table1[[#This Row],[h_hargasebelumdiskon]]-Table1[[#This Row],[h_disc 1]])*Table1[[#This Row],[Column15]]))</f>
        <v>0</v>
      </c>
      <c r="AB106" s="237">
        <f>IF(Table1[[#This Row],[Column12]]="","",Table1[[#This Row],[h_disc 1]]+Table1[[#This Row],[h_disc 2]])</f>
        <v>1522152</v>
      </c>
      <c r="AC106" s="237">
        <f>IF(Table1[[#This Row],[Column12]]="","",Table1[[#This Row],[h_hargasebelumdiskon]]-Table1[[#This Row],[h_diskon]])</f>
        <v>9753048</v>
      </c>
      <c r="AD106" s="237">
        <f ca="1">IF(Table1[[#This Row],[//]]="","",SUMIF(Table1[h_id],Table1[[#This Row],[h_id]],Table1[h_hargasetelahdiskon]))</f>
        <v>13415112</v>
      </c>
      <c r="AF106" s="237" t="str">
        <f>Table1[[#This Row],[Column12]]&amp;Table1[[#This Row],[Unit]]&amp;Table1[[#This Row],[Column13]]</f>
        <v>GEL PEN KENKO EASY GEL 0.3MM HITAMLSN26100</v>
      </c>
      <c r="AG106"/>
      <c r="AH106"/>
      <c r="AI106"/>
    </row>
    <row r="107" spans="1:35">
      <c r="A107" s="234" t="str">
        <f ca="1">IF(Table1[[#This Row],[No. Invoice :]]="","",ROW())</f>
        <v/>
      </c>
      <c r="B107" s="234" t="str">
        <f ca="1">IF(Table1[[#This Row],[Column3]]="","",B$1+COUNT(INDIRECT("B$2:B"&amp;ROW()-1)))</f>
        <v/>
      </c>
      <c r="C107" s="235" t="str">
        <f>IF(Table1[[#This Row],[Column2]]="","",Table1[[#This Row],[Column2]]+C$1-1)</f>
        <v/>
      </c>
      <c r="E107" s="236"/>
      <c r="F107" s="234"/>
      <c r="G107" s="234" t="str">
        <f ca="1">IF(Table1[[#This Row],[h_No. Invoice :]]="","",CONCATENATE("AM"," ",Table1[[#This Row],[h_No. Invoice :]]))</f>
        <v/>
      </c>
      <c r="H107" s="234" t="str">
        <f>IF(Table1[[#This Row],[Column5]]="","",INDEX(Table2[Column1],MATCH(Table1[[#This Row],[Column5]],Table2[a],0)))</f>
        <v/>
      </c>
      <c r="I107" s="234" t="str">
        <f>IF(Table1[[#This Row],[Column3]]=0,"",CONCATENATE(UPPER(Table1[[#This Row],[Column3]])," ",Table1[[#This Row],[Column4]]))</f>
        <v xml:space="preserve"> </v>
      </c>
      <c r="J107" s="234" t="str">
        <f>IF(Table1[[#This Row],[Column5]]="","",INDEX(Table2[e],IF(Table1[[#This Row],[Column5]]="","",MATCH(Table1[[#This Row],[Column5]],Table2[a],0)),))</f>
        <v/>
      </c>
      <c r="K107" s="234">
        <v>72</v>
      </c>
      <c r="L107" s="234" t="s">
        <v>186</v>
      </c>
      <c r="M107" s="234">
        <v>1</v>
      </c>
      <c r="N107" s="234" t="s">
        <v>363</v>
      </c>
      <c r="O107" s="234" t="str">
        <f>IF(Table1[[#This Row],[h_Item Description]]="","",INDEX([1]!db[NB PAJAK],MATCH(Table1[[#This Row],[h_Item Description]],[1]!db[kode],0)))</f>
        <v>CORRECTION FLUID KENKO KE-823M</v>
      </c>
      <c r="P107" s="234" t="s">
        <v>365</v>
      </c>
      <c r="Q107" s="237">
        <v>58800</v>
      </c>
      <c r="R107" s="238">
        <v>0.13500000000000001</v>
      </c>
      <c r="S107" s="238"/>
      <c r="T107" s="237">
        <f>Table1[[#This Row],[h_hargasetelahdiskon]]</f>
        <v>3662064</v>
      </c>
      <c r="V107" s="234"/>
      <c r="W107" s="234">
        <f ca="1">IF(Table1[[#This Row],[Column12]]="","",IF(Table1[[#This Row],[//]]="",INDIRECT(ADDRESS(ROW()-1,COLUMN())),Table1[[#This Row],[//]]))</f>
        <v>106</v>
      </c>
      <c r="X107" s="234">
        <f ca="1">IF(Table1[[#This Row],[h_id]]="","",COUNTIF(Table1[h_id],Table1[[#This Row],[h_id]]))</f>
        <v>2</v>
      </c>
      <c r="Y107" s="237">
        <f>IF(Table1[[#This Row],[Column12]]="","",Table1[[#This Row],[Qty]]*Table1[[#This Row],[Column13]])</f>
        <v>4233600</v>
      </c>
      <c r="Z107" s="237">
        <f>IF(Table1[[#This Row],[h_hargasebelumdiskon]]="","",IF(Table1[[#This Row],[Column14]]="",0,Table1[[#This Row],[h_hargasebelumdiskon]]*Table1[[#This Row],[Column14]]))</f>
        <v>571536</v>
      </c>
      <c r="AA107" s="237">
        <f>IF(Table1[[#This Row],[h_hargasebelumdiskon]]="","",IF(Table1[[#This Row],[Column15]]="",0,(Table1[[#This Row],[h_hargasebelumdiskon]]-Table1[[#This Row],[h_disc 1]])*Table1[[#This Row],[Column15]]))</f>
        <v>0</v>
      </c>
      <c r="AB107" s="237">
        <f>IF(Table1[[#This Row],[Column12]]="","",Table1[[#This Row],[h_disc 1]]+Table1[[#This Row],[h_disc 2]])</f>
        <v>571536</v>
      </c>
      <c r="AC107" s="237">
        <f>IF(Table1[[#This Row],[Column12]]="","",Table1[[#This Row],[h_hargasebelumdiskon]]-Table1[[#This Row],[h_diskon]])</f>
        <v>3662064</v>
      </c>
      <c r="AD107" s="237" t="str">
        <f ca="1">IF(Table1[[#This Row],[//]]="","",SUMIF(Table1[h_id],Table1[[#This Row],[h_id]],Table1[h_hargasetelahdiskon]))</f>
        <v/>
      </c>
      <c r="AF107" s="237" t="str">
        <f>Table1[[#This Row],[Column12]]&amp;Table1[[#This Row],[Unit]]&amp;Table1[[#This Row],[Column13]]</f>
        <v>CORRECTION FLUID KENKO KE-823MLSN58800</v>
      </c>
      <c r="AG107"/>
      <c r="AH107"/>
      <c r="AI107"/>
    </row>
    <row r="108" spans="1:35">
      <c r="A108" s="234" t="str">
        <f ca="1">IF(Table1[[#This Row],[No. Invoice :]]="","",ROW())</f>
        <v/>
      </c>
      <c r="B108" s="432" t="str">
        <f ca="1">IF(Table1[[#This Row],[Column3]]="","",B$1+COUNT(INDIRECT("B$2:B"&amp;ROW()-1)))</f>
        <v/>
      </c>
      <c r="C108" s="235" t="str">
        <f>IF(Table1[[#This Row],[Column2]]="","",Table1[[#This Row],[Column2]]+C$1-1)</f>
        <v/>
      </c>
      <c r="D108" s="433"/>
      <c r="E108" s="236"/>
      <c r="F108" s="234"/>
      <c r="G108" s="234" t="str">
        <f ca="1">IF(Table1[[#This Row],[h_No. Invoice :]]="","",CONCATENATE("AM"," ",Table1[[#This Row],[h_No. Invoice :]]))</f>
        <v/>
      </c>
      <c r="H108" s="432" t="str">
        <f>IF(Table1[[#This Row],[Column5]]="","",INDEX(Table2[Column1],MATCH(Table1[[#This Row],[Column5]],Table2[a],0)))</f>
        <v/>
      </c>
      <c r="I108" s="234" t="str">
        <f>IF(Table1[[#This Row],[Column3]]=0,"",CONCATENATE(UPPER(Table1[[#This Row],[Column3]])," ",Table1[[#This Row],[Column4]]))</f>
        <v xml:space="preserve"> </v>
      </c>
      <c r="J108" s="234" t="str">
        <f>IF(Table1[[#This Row],[Column5]]="","",INDEX(Table2[e],IF(Table1[[#This Row],[Column5]]="","",MATCH(Table1[[#This Row],[Column5]],Table2[a],0)),))</f>
        <v/>
      </c>
      <c r="K108" s="234"/>
      <c r="L108" s="234"/>
      <c r="O108" s="432" t="str">
        <f>IF(Table1[[#This Row],[h_Item Description]]="","",INDEX([1]!db[NB PAJAK],MATCH(Table1[[#This Row],[h_Item Description]],[1]!db[kode],0)))</f>
        <v/>
      </c>
      <c r="Q108" s="237"/>
      <c r="R108" s="238"/>
      <c r="S108" s="238"/>
      <c r="T108" s="435" t="str">
        <f>Table1[[#This Row],[h_hargasetelahdiskon]]</f>
        <v/>
      </c>
      <c r="V108" s="234"/>
      <c r="W108" s="234" t="str">
        <f ca="1">IF(Table1[[#This Row],[Column12]]="","",IF(Table1[[#This Row],[//]]="",INDIRECT(ADDRESS(ROW()-1,COLUMN())),Table1[[#This Row],[//]]))</f>
        <v/>
      </c>
      <c r="X108" s="234" t="str">
        <f ca="1">IF(Table1[[#This Row],[h_id]]="","",COUNTIF(Table1[h_id],Table1[[#This Row],[h_id]]))</f>
        <v/>
      </c>
      <c r="Y108" s="237" t="str">
        <f>IF(Table1[[#This Row],[Column12]]="","",Table1[[#This Row],[Qty]]*Table1[[#This Row],[Column13]])</f>
        <v/>
      </c>
      <c r="Z108" s="435" t="str">
        <f>IF(Table1[[#This Row],[h_hargasebelumdiskon]]="","",IF(Table1[[#This Row],[Column14]]="",0,Table1[[#This Row],[h_hargasebelumdiskon]]*Table1[[#This Row],[Column14]]))</f>
        <v/>
      </c>
      <c r="AA108" s="435" t="str">
        <f>IF(Table1[[#This Row],[h_hargasebelumdiskon]]="","",IF(Table1[[#This Row],[Column15]]="",0,(Table1[[#This Row],[h_hargasebelumdiskon]]-Table1[[#This Row],[h_disc 1]])*Table1[[#This Row],[Column15]]))</f>
        <v/>
      </c>
      <c r="AB108" s="237" t="str">
        <f>IF(Table1[[#This Row],[Column12]]="","",Table1[[#This Row],[h_disc 1]]+Table1[[#This Row],[h_disc 2]])</f>
        <v/>
      </c>
      <c r="AC108" s="237" t="str">
        <f>IF(Table1[[#This Row],[Column12]]="","",Table1[[#This Row],[h_hargasebelumdiskon]]-Table1[[#This Row],[h_diskon]])</f>
        <v/>
      </c>
      <c r="AD108" s="237" t="str">
        <f ca="1">IF(Table1[[#This Row],[//]]="","",SUMIF(Table1[h_id],Table1[[#This Row],[h_id]],Table1[h_hargasetelahdiskon]))</f>
        <v/>
      </c>
      <c r="AF108" s="237" t="str">
        <f>Table1[[#This Row],[Column12]]&amp;Table1[[#This Row],[Unit]]&amp;Table1[[#This Row],[Column13]]</f>
        <v/>
      </c>
      <c r="AG108"/>
      <c r="AH108"/>
      <c r="AI108"/>
    </row>
    <row r="109" spans="1:35">
      <c r="A109" s="234">
        <f ca="1">IF(Table1[[#This Row],[No. Invoice :]]="","",ROW())</f>
        <v>109</v>
      </c>
      <c r="B109" s="437">
        <f ca="1">IF(Table1[[#This Row],[Column3]]="","",B$1+COUNT(INDIRECT("B$2:B"&amp;ROW()-1)))</f>
        <v>24050015</v>
      </c>
      <c r="C109" s="235">
        <f>IF(Table1[[#This Row],[Column2]]="","",Table1[[#This Row],[Column2]]+C$1-1)</f>
        <v>45423</v>
      </c>
      <c r="D109" s="438">
        <v>11</v>
      </c>
      <c r="E109" s="236" t="s">
        <v>378</v>
      </c>
      <c r="F109" s="234" t="s">
        <v>97</v>
      </c>
      <c r="G109" s="234" t="str">
        <f ca="1">IF(Table1[[#This Row],[h_No. Invoice :]]="","",CONCATENATE("AM"," ",Table1[[#This Row],[h_No. Invoice :]]))</f>
        <v>AM 24050015</v>
      </c>
      <c r="H109" s="437" t="str">
        <f>IF(Table1[[#This Row],[Column5]]="","",INDEX(Table2[Column1],MATCH(Table1[[#This Row],[Column5]],Table2[a],0)))</f>
        <v>A</v>
      </c>
      <c r="I109" s="234" t="str">
        <f>IF(Table1[[#This Row],[Column3]]=0,"",CONCATENATE(UPPER(Table1[[#This Row],[Column3]])," ",Table1[[#This Row],[Column4]]))</f>
        <v>A 4809</v>
      </c>
      <c r="J109" s="234" t="str">
        <f>IF(Table1[[#This Row],[Column5]]="","",INDEX(Table2[e],IF(Table1[[#This Row],[Column5]]="","",MATCH(Table1[[#This Row],[Column5]],Table2[a],0)),))</f>
        <v>CV FM 90 KEBUMEN</v>
      </c>
      <c r="K109" s="234">
        <v>144</v>
      </c>
      <c r="L109" s="234" t="s">
        <v>186</v>
      </c>
      <c r="M109" s="234">
        <v>1</v>
      </c>
      <c r="N109" s="234" t="s">
        <v>379</v>
      </c>
      <c r="O109" s="437" t="str">
        <f>IF(Table1[[#This Row],[h_Item Description]]="","",INDEX([1]!db[NB PAJAK],MATCH(Table1[[#This Row],[h_Item Description]],[1]!db[kode],0)))</f>
        <v>GEL PEN TRIFELLO HI-TECH TF-1190 HITAM</v>
      </c>
      <c r="P109" s="234" t="s">
        <v>380</v>
      </c>
      <c r="Q109" s="237">
        <v>28500</v>
      </c>
      <c r="R109" s="238"/>
      <c r="S109" s="238"/>
      <c r="T109" s="440">
        <f>Table1[[#This Row],[h_hargasetelahdiskon]]</f>
        <v>4104000</v>
      </c>
      <c r="U109" s="237" t="s">
        <v>129</v>
      </c>
      <c r="V109" s="234"/>
      <c r="W109" s="234">
        <f ca="1">IF(Table1[[#This Row],[Column12]]="","",IF(Table1[[#This Row],[//]]="",INDIRECT(ADDRESS(ROW()-1,COLUMN())),Table1[[#This Row],[//]]))</f>
        <v>109</v>
      </c>
      <c r="X109" s="234">
        <f ca="1">IF(Table1[[#This Row],[h_id]]="","",COUNTIF(Table1[h_id],Table1[[#This Row],[h_id]]))</f>
        <v>1</v>
      </c>
      <c r="Y109" s="237">
        <f>IF(Table1[[#This Row],[Column12]]="","",Table1[[#This Row],[Qty]]*Table1[[#This Row],[Column13]])</f>
        <v>4104000</v>
      </c>
      <c r="Z109" s="440">
        <f>IF(Table1[[#This Row],[h_hargasebelumdiskon]]="","",IF(Table1[[#This Row],[Column14]]="",0,Table1[[#This Row],[h_hargasebelumdiskon]]*Table1[[#This Row],[Column14]]))</f>
        <v>0</v>
      </c>
      <c r="AA109" s="440">
        <f>IF(Table1[[#This Row],[h_hargasebelumdiskon]]="","",IF(Table1[[#This Row],[Column15]]="",0,(Table1[[#This Row],[h_hargasebelumdiskon]]-Table1[[#This Row],[h_disc 1]])*Table1[[#This Row],[Column15]]))</f>
        <v>0</v>
      </c>
      <c r="AB109" s="237">
        <f>IF(Table1[[#This Row],[Column12]]="","",Table1[[#This Row],[h_disc 1]]+Table1[[#This Row],[h_disc 2]])</f>
        <v>0</v>
      </c>
      <c r="AC109" s="237">
        <f>IF(Table1[[#This Row],[Column12]]="","",Table1[[#This Row],[h_hargasebelumdiskon]]-Table1[[#This Row],[h_diskon]])</f>
        <v>4104000</v>
      </c>
      <c r="AD109" s="237">
        <f ca="1">IF(Table1[[#This Row],[//]]="","",SUMIF(Table1[h_id],Table1[[#This Row],[h_id]],Table1[h_hargasetelahdiskon]))</f>
        <v>4104000</v>
      </c>
      <c r="AF109" s="237" t="str">
        <f>Table1[[#This Row],[Column12]]&amp;Table1[[#This Row],[Unit]]&amp;Table1[[#This Row],[Column13]]</f>
        <v>GEL PEN TRIFELLO HI-TECH TF-1190 HITAMLSN28500</v>
      </c>
      <c r="AG109"/>
      <c r="AH109"/>
      <c r="AI109"/>
    </row>
    <row r="110" spans="1:35">
      <c r="A110" s="234" t="str">
        <f ca="1">IF(Table1[[#This Row],[No. Invoice :]]="","",ROW())</f>
        <v/>
      </c>
      <c r="B110" s="437" t="str">
        <f ca="1">IF(Table1[[#This Row],[Column3]]="","",B$1+COUNT(INDIRECT("B$2:B"&amp;ROW()-1)))</f>
        <v/>
      </c>
      <c r="C110" s="235" t="str">
        <f>IF(Table1[[#This Row],[Column2]]="","",Table1[[#This Row],[Column2]]+C$1-1)</f>
        <v/>
      </c>
      <c r="D110" s="438"/>
      <c r="E110" s="439"/>
      <c r="F110" s="437"/>
      <c r="G110" s="234" t="str">
        <f ca="1">IF(Table1[[#This Row],[h_No. Invoice :]]="","",CONCATENATE("AM"," ",Table1[[#This Row],[h_No. Invoice :]]))</f>
        <v/>
      </c>
      <c r="H110" s="437" t="str">
        <f>IF(Table1[[#This Row],[Column5]]="","",INDEX(Table2[Column1],MATCH(Table1[[#This Row],[Column5]],Table2[a],0)))</f>
        <v/>
      </c>
      <c r="I110" s="234" t="str">
        <f>IF(Table1[[#This Row],[Column3]]=0,"",CONCATENATE(UPPER(Table1[[#This Row],[Column3]])," ",Table1[[#This Row],[Column4]]))</f>
        <v xml:space="preserve"> </v>
      </c>
      <c r="J110" s="234" t="str">
        <f>IF(Table1[[#This Row],[Column5]]="","",INDEX(Table2[e],IF(Table1[[#This Row],[Column5]]="","",MATCH(Table1[[#This Row],[Column5]],Table2[a],0)),))</f>
        <v/>
      </c>
      <c r="K110" s="234"/>
      <c r="L110" s="234"/>
      <c r="N110" s="437"/>
      <c r="O110" s="437" t="str">
        <f>IF(Table1[[#This Row],[h_Item Description]]="","",INDEX([1]!db[NB PAJAK],MATCH(Table1[[#This Row],[h_Item Description]],[1]!db[kode],0)))</f>
        <v/>
      </c>
      <c r="Q110" s="237"/>
      <c r="R110" s="238"/>
      <c r="S110" s="238"/>
      <c r="T110" s="440" t="str">
        <f>Table1[[#This Row],[h_hargasetelahdiskon]]</f>
        <v/>
      </c>
      <c r="V110" s="234"/>
      <c r="W110" s="234" t="str">
        <f ca="1">IF(Table1[[#This Row],[Column12]]="","",IF(Table1[[#This Row],[//]]="",INDIRECT(ADDRESS(ROW()-1,COLUMN())),Table1[[#This Row],[//]]))</f>
        <v/>
      </c>
      <c r="X110" s="234" t="str">
        <f ca="1">IF(Table1[[#This Row],[h_id]]="","",COUNTIF(Table1[h_id],Table1[[#This Row],[h_id]]))</f>
        <v/>
      </c>
      <c r="Y110" s="237" t="str">
        <f>IF(Table1[[#This Row],[Column12]]="","",Table1[[#This Row],[Qty]]*Table1[[#This Row],[Column13]])</f>
        <v/>
      </c>
      <c r="Z110" s="440" t="str">
        <f>IF(Table1[[#This Row],[h_hargasebelumdiskon]]="","",IF(Table1[[#This Row],[Column14]]="",0,Table1[[#This Row],[h_hargasebelumdiskon]]*Table1[[#This Row],[Column14]]))</f>
        <v/>
      </c>
      <c r="AA110" s="440" t="str">
        <f>IF(Table1[[#This Row],[h_hargasebelumdiskon]]="","",IF(Table1[[#This Row],[Column15]]="",0,(Table1[[#This Row],[h_hargasebelumdiskon]]-Table1[[#This Row],[h_disc 1]])*Table1[[#This Row],[Column15]]))</f>
        <v/>
      </c>
      <c r="AB110" s="237" t="str">
        <f>IF(Table1[[#This Row],[Column12]]="","",Table1[[#This Row],[h_disc 1]]+Table1[[#This Row],[h_disc 2]])</f>
        <v/>
      </c>
      <c r="AC110" s="237" t="str">
        <f>IF(Table1[[#This Row],[Column12]]="","",Table1[[#This Row],[h_hargasebelumdiskon]]-Table1[[#This Row],[h_diskon]])</f>
        <v/>
      </c>
      <c r="AD110" s="237" t="str">
        <f ca="1">IF(Table1[[#This Row],[//]]="","",SUMIF(Table1[h_id],Table1[[#This Row],[h_id]],Table1[h_hargasetelahdiskon]))</f>
        <v/>
      </c>
      <c r="AF110" s="237" t="str">
        <f>Table1[[#This Row],[Column12]]&amp;Table1[[#This Row],[Unit]]&amp;Table1[[#This Row],[Column13]]</f>
        <v/>
      </c>
      <c r="AG110"/>
      <c r="AH110"/>
      <c r="AI110"/>
    </row>
    <row r="111" spans="1:35">
      <c r="A111" s="234">
        <f ca="1">IF(Table1[[#This Row],[No. Invoice :]]="","",ROW())</f>
        <v>111</v>
      </c>
      <c r="B111" s="428">
        <f ca="1">IF(Table1[[#This Row],[Column3]]="","",B$1+COUNT(INDIRECT("B$2:B"&amp;ROW()-1)))</f>
        <v>24050016</v>
      </c>
      <c r="C111" s="235">
        <f>IF(Table1[[#This Row],[Column2]]="","",Table1[[#This Row],[Column2]]+C$1-1)</f>
        <v>45423</v>
      </c>
      <c r="D111" s="429">
        <v>11</v>
      </c>
      <c r="E111" s="236" t="s">
        <v>381</v>
      </c>
      <c r="F111" s="234" t="s">
        <v>66</v>
      </c>
      <c r="G111" s="234" t="str">
        <f ca="1">IF(Table1[[#This Row],[h_No. Invoice :]]="","",CONCATENATE("AM"," ",Table1[[#This Row],[h_No. Invoice :]]))</f>
        <v>AM 24050016</v>
      </c>
      <c r="H111" s="428" t="str">
        <f>IF(Table1[[#This Row],[Column5]]="","",INDEX(Table2[Column1],MATCH(Table1[[#This Row],[Column5]],Table2[a],0)))</f>
        <v>KO</v>
      </c>
      <c r="I111" s="234" t="str">
        <f>IF(Table1[[#This Row],[Column3]]=0,"",CONCATENATE(UPPER(Table1[[#This Row],[Column3]])," ",Table1[[#This Row],[Column4]]))</f>
        <v>KO 4901</v>
      </c>
      <c r="J111" s="234" t="str">
        <f>IF(Table1[[#This Row],[Column5]]="","",INDEX(Table2[e],IF(Table1[[#This Row],[Column5]]="","",MATCH(Table1[[#This Row],[Column5]],Table2[a],0)),))</f>
        <v>HARNOYO (BENDAN) PEKALONGAN</v>
      </c>
      <c r="K111" s="234">
        <v>50</v>
      </c>
      <c r="L111" s="234" t="s">
        <v>195</v>
      </c>
      <c r="M111" s="234">
        <v>1</v>
      </c>
      <c r="N111" s="234" t="s">
        <v>382</v>
      </c>
      <c r="O111" s="428" t="str">
        <f>IF(Table1[[#This Row],[h_Item Description]]="","",INDEX([1]!db[NB PAJAK],MATCH(Table1[[#This Row],[h_Item Description]],[1]!db[kode],0)))</f>
        <v>BINDER CLIP KENKO NO. 105</v>
      </c>
      <c r="P111" s="234" t="s">
        <v>383</v>
      </c>
      <c r="Q111" s="237">
        <v>28800</v>
      </c>
      <c r="R111" s="238">
        <v>0.14000000000000001</v>
      </c>
      <c r="S111" s="238"/>
      <c r="T111" s="431">
        <f>Table1[[#This Row],[h_hargasetelahdiskon]]</f>
        <v>1238400</v>
      </c>
      <c r="U111" s="237" t="s">
        <v>129</v>
      </c>
      <c r="V111" s="234"/>
      <c r="W111" s="234">
        <f ca="1">IF(Table1[[#This Row],[Column12]]="","",IF(Table1[[#This Row],[//]]="",INDIRECT(ADDRESS(ROW()-1,COLUMN())),Table1[[#This Row],[//]]))</f>
        <v>111</v>
      </c>
      <c r="X111" s="234">
        <f ca="1">IF(Table1[[#This Row],[h_id]]="","",COUNTIF(Table1[h_id],Table1[[#This Row],[h_id]]))</f>
        <v>1</v>
      </c>
      <c r="Y111" s="237">
        <f>IF(Table1[[#This Row],[Column12]]="","",Table1[[#This Row],[Qty]]*Table1[[#This Row],[Column13]])</f>
        <v>1440000</v>
      </c>
      <c r="Z111" s="431">
        <f>IF(Table1[[#This Row],[h_hargasebelumdiskon]]="","",IF(Table1[[#This Row],[Column14]]="",0,Table1[[#This Row],[h_hargasebelumdiskon]]*Table1[[#This Row],[Column14]]))</f>
        <v>201600.00000000003</v>
      </c>
      <c r="AA111" s="431">
        <f>IF(Table1[[#This Row],[h_hargasebelumdiskon]]="","",IF(Table1[[#This Row],[Column15]]="",0,(Table1[[#This Row],[h_hargasebelumdiskon]]-Table1[[#This Row],[h_disc 1]])*Table1[[#This Row],[Column15]]))</f>
        <v>0</v>
      </c>
      <c r="AB111" s="237">
        <f>IF(Table1[[#This Row],[Column12]]="","",Table1[[#This Row],[h_disc 1]]+Table1[[#This Row],[h_disc 2]])</f>
        <v>201600.00000000003</v>
      </c>
      <c r="AC111" s="237">
        <f>IF(Table1[[#This Row],[Column12]]="","",Table1[[#This Row],[h_hargasebelumdiskon]]-Table1[[#This Row],[h_diskon]])</f>
        <v>1238400</v>
      </c>
      <c r="AD111" s="237">
        <f ca="1">IF(Table1[[#This Row],[//]]="","",SUMIF(Table1[h_id],Table1[[#This Row],[h_id]],Table1[h_hargasetelahdiskon]))</f>
        <v>1238400</v>
      </c>
      <c r="AF111" s="237" t="str">
        <f>Table1[[#This Row],[Column12]]&amp;Table1[[#This Row],[Unit]]&amp;Table1[[#This Row],[Column13]]</f>
        <v>BINDER CLIP KENKO NO. 105GRS28800</v>
      </c>
      <c r="AG111"/>
      <c r="AH111"/>
      <c r="AI111"/>
    </row>
    <row r="112" spans="1:35">
      <c r="A112" s="234" t="str">
        <f ca="1">IF(Table1[[#This Row],[No. Invoice :]]="","",ROW())</f>
        <v/>
      </c>
      <c r="B112" s="428" t="str">
        <f ca="1">IF(Table1[[#This Row],[Column3]]="","",B$1+COUNT(INDIRECT("B$2:B"&amp;ROW()-1)))</f>
        <v/>
      </c>
      <c r="C112" s="235" t="str">
        <f>IF(Table1[[#This Row],[Column2]]="","",Table1[[#This Row],[Column2]]+C$1-1)</f>
        <v/>
      </c>
      <c r="D112" s="429"/>
      <c r="E112" s="236"/>
      <c r="F112" s="234"/>
      <c r="G112" s="234" t="str">
        <f ca="1">IF(Table1[[#This Row],[h_No. Invoice :]]="","",CONCATENATE("AM"," ",Table1[[#This Row],[h_No. Invoice :]]))</f>
        <v/>
      </c>
      <c r="H112" s="428" t="str">
        <f>IF(Table1[[#This Row],[Column5]]="","",INDEX(Table2[Column1],MATCH(Table1[[#This Row],[Column5]],Table2[a],0)))</f>
        <v/>
      </c>
      <c r="I112" s="234" t="str">
        <f>IF(Table1[[#This Row],[Column3]]=0,"",CONCATENATE(UPPER(Table1[[#This Row],[Column3]])," ",Table1[[#This Row],[Column4]]))</f>
        <v xml:space="preserve"> </v>
      </c>
      <c r="J112" s="234" t="str">
        <f>IF(Table1[[#This Row],[Column5]]="","",INDEX(Table2[e],IF(Table1[[#This Row],[Column5]]="","",MATCH(Table1[[#This Row],[Column5]],Table2[a],0)),))</f>
        <v/>
      </c>
      <c r="K112" s="234"/>
      <c r="L112" s="234"/>
      <c r="O112" s="428" t="str">
        <f>IF(Table1[[#This Row],[h_Item Description]]="","",INDEX([1]!db[NB PAJAK],MATCH(Table1[[#This Row],[h_Item Description]],[1]!db[kode],0)))</f>
        <v/>
      </c>
      <c r="Q112" s="237"/>
      <c r="R112" s="238"/>
      <c r="S112" s="238"/>
      <c r="T112" s="431" t="str">
        <f>Table1[[#This Row],[h_hargasetelahdiskon]]</f>
        <v/>
      </c>
      <c r="V112" s="234"/>
      <c r="W112" s="234" t="str">
        <f ca="1">IF(Table1[[#This Row],[Column12]]="","",IF(Table1[[#This Row],[//]]="",INDIRECT(ADDRESS(ROW()-1,COLUMN())),Table1[[#This Row],[//]]))</f>
        <v/>
      </c>
      <c r="X112" s="234" t="str">
        <f ca="1">IF(Table1[[#This Row],[h_id]]="","",COUNTIF(Table1[h_id],Table1[[#This Row],[h_id]]))</f>
        <v/>
      </c>
      <c r="Y112" s="237" t="str">
        <f>IF(Table1[[#This Row],[Column12]]="","",Table1[[#This Row],[Qty]]*Table1[[#This Row],[Column13]])</f>
        <v/>
      </c>
      <c r="Z112" s="431" t="str">
        <f>IF(Table1[[#This Row],[h_hargasebelumdiskon]]="","",IF(Table1[[#This Row],[Column14]]="",0,Table1[[#This Row],[h_hargasebelumdiskon]]*Table1[[#This Row],[Column14]]))</f>
        <v/>
      </c>
      <c r="AA112" s="431" t="str">
        <f>IF(Table1[[#This Row],[h_hargasebelumdiskon]]="","",IF(Table1[[#This Row],[Column15]]="",0,(Table1[[#This Row],[h_hargasebelumdiskon]]-Table1[[#This Row],[h_disc 1]])*Table1[[#This Row],[Column15]]))</f>
        <v/>
      </c>
      <c r="AB112" s="237" t="str">
        <f>IF(Table1[[#This Row],[Column12]]="","",Table1[[#This Row],[h_disc 1]]+Table1[[#This Row],[h_disc 2]])</f>
        <v/>
      </c>
      <c r="AC112" s="237" t="str">
        <f>IF(Table1[[#This Row],[Column12]]="","",Table1[[#This Row],[h_hargasebelumdiskon]]-Table1[[#This Row],[h_diskon]])</f>
        <v/>
      </c>
      <c r="AD112" s="237" t="str">
        <f ca="1">IF(Table1[[#This Row],[//]]="","",SUMIF(Table1[h_id],Table1[[#This Row],[h_id]],Table1[h_hargasetelahdiskon]))</f>
        <v/>
      </c>
      <c r="AF112" s="237" t="str">
        <f>Table1[[#This Row],[Column12]]&amp;Table1[[#This Row],[Unit]]&amp;Table1[[#This Row],[Column13]]</f>
        <v/>
      </c>
      <c r="AG112"/>
      <c r="AH112"/>
      <c r="AI112"/>
    </row>
    <row r="113" spans="1:35">
      <c r="A113" s="234">
        <f ca="1">IF(Table1[[#This Row],[No. Invoice :]]="","",ROW())</f>
        <v>113</v>
      </c>
      <c r="B113" s="428">
        <f ca="1">IF(Table1[[#This Row],[Column3]]="","",B$1+COUNT(INDIRECT("B$2:B"&amp;ROW()-1)))</f>
        <v>24050017</v>
      </c>
      <c r="C113" s="235">
        <f>IF(Table1[[#This Row],[Column2]]="","",Table1[[#This Row],[Column2]]+C$1-1)</f>
        <v>45425</v>
      </c>
      <c r="D113" s="429">
        <v>13</v>
      </c>
      <c r="E113" s="236" t="s">
        <v>384</v>
      </c>
      <c r="F113" s="234" t="s">
        <v>80</v>
      </c>
      <c r="G113" s="234" t="str">
        <f ca="1">IF(Table1[[#This Row],[h_No. Invoice :]]="","",CONCATENATE("AM"," ",Table1[[#This Row],[h_No. Invoice :]]))</f>
        <v>AM 24050017</v>
      </c>
      <c r="H113" s="428" t="str">
        <f>IF(Table1[[#This Row],[Column5]]="","",INDEX(Table2[Column1],MATCH(Table1[[#This Row],[Column5]],Table2[a],0)))</f>
        <v>KO</v>
      </c>
      <c r="I113" s="234" t="str">
        <f>IF(Table1[[#This Row],[Column3]]=0,"",CONCATENATE(UPPER(Table1[[#This Row],[Column3]])," ",Table1[[#This Row],[Column4]]))</f>
        <v>KO 4913</v>
      </c>
      <c r="J113" s="234" t="str">
        <f>IF(Table1[[#This Row],[Column5]]="","",INDEX(Table2[e],IF(Table1[[#This Row],[Column5]]="","",MATCH(Table1[[#This Row],[Column5]],Table2[a],0)),))</f>
        <v>CV PELITA JAYA (ANUGERAH SEJAHTERA) PURWOKERTO</v>
      </c>
      <c r="K113" s="234">
        <v>300</v>
      </c>
      <c r="L113" s="234" t="s">
        <v>186</v>
      </c>
      <c r="M113" s="234">
        <v>5</v>
      </c>
      <c r="N113" s="234" t="s">
        <v>251</v>
      </c>
      <c r="O113" s="428" t="str">
        <f>IF(Table1[[#This Row],[h_Item Description]]="","",INDEX([1]!db[NB PAJAK],MATCH(Table1[[#This Row],[h_Item Description]],[1]!db[kode],0)))</f>
        <v>ISI CUTTER 18 MM KENKO L-150 (BESAR)</v>
      </c>
      <c r="P113" s="234" t="s">
        <v>253</v>
      </c>
      <c r="Q113" s="237">
        <v>64800</v>
      </c>
      <c r="R113" s="238">
        <v>0.13500000000000001</v>
      </c>
      <c r="S113" s="238"/>
      <c r="T113" s="431">
        <f>Table1[[#This Row],[h_hargasetelahdiskon]]</f>
        <v>16815600</v>
      </c>
      <c r="U113" s="237" t="s">
        <v>129</v>
      </c>
      <c r="V113" s="234"/>
      <c r="W113" s="234">
        <f ca="1">IF(Table1[[#This Row],[Column12]]="","",IF(Table1[[#This Row],[//]]="",INDIRECT(ADDRESS(ROW()-1,COLUMN())),Table1[[#This Row],[//]]))</f>
        <v>113</v>
      </c>
      <c r="X113" s="234">
        <f ca="1">IF(Table1[[#This Row],[h_id]]="","",COUNTIF(Table1[h_id],Table1[[#This Row],[h_id]]))</f>
        <v>1</v>
      </c>
      <c r="Y113" s="237">
        <f>IF(Table1[[#This Row],[Column12]]="","",Table1[[#This Row],[Qty]]*Table1[[#This Row],[Column13]])</f>
        <v>19440000</v>
      </c>
      <c r="Z113" s="431">
        <f>IF(Table1[[#This Row],[h_hargasebelumdiskon]]="","",IF(Table1[[#This Row],[Column14]]="",0,Table1[[#This Row],[h_hargasebelumdiskon]]*Table1[[#This Row],[Column14]]))</f>
        <v>2624400</v>
      </c>
      <c r="AA113" s="431">
        <f>IF(Table1[[#This Row],[h_hargasebelumdiskon]]="","",IF(Table1[[#This Row],[Column15]]="",0,(Table1[[#This Row],[h_hargasebelumdiskon]]-Table1[[#This Row],[h_disc 1]])*Table1[[#This Row],[Column15]]))</f>
        <v>0</v>
      </c>
      <c r="AB113" s="237">
        <f>IF(Table1[[#This Row],[Column12]]="","",Table1[[#This Row],[h_disc 1]]+Table1[[#This Row],[h_disc 2]])</f>
        <v>2624400</v>
      </c>
      <c r="AC113" s="237">
        <f>IF(Table1[[#This Row],[Column12]]="","",Table1[[#This Row],[h_hargasebelumdiskon]]-Table1[[#This Row],[h_diskon]])</f>
        <v>16815600</v>
      </c>
      <c r="AD113" s="237">
        <f ca="1">IF(Table1[[#This Row],[//]]="","",SUMIF(Table1[h_id],Table1[[#This Row],[h_id]],Table1[h_hargasetelahdiskon]))</f>
        <v>16815600</v>
      </c>
      <c r="AF113" s="237" t="str">
        <f>Table1[[#This Row],[Column12]]&amp;Table1[[#This Row],[Unit]]&amp;Table1[[#This Row],[Column13]]</f>
        <v>ISI CUTTER 18 MM KENKO L-150 (BESAR)LSN64800</v>
      </c>
      <c r="AG113"/>
      <c r="AH113"/>
      <c r="AI113"/>
    </row>
    <row r="114" spans="1:35">
      <c r="A114" s="234" t="str">
        <f ca="1">IF(Table1[[#This Row],[No. Invoice :]]="","",ROW())</f>
        <v/>
      </c>
      <c r="B114" s="428" t="str">
        <f ca="1">IF(Table1[[#This Row],[Column3]]="","",B$1+COUNT(INDIRECT("B$2:B"&amp;ROW()-1)))</f>
        <v/>
      </c>
      <c r="C114" s="235" t="str">
        <f>IF(Table1[[#This Row],[Column2]]="","",Table1[[#This Row],[Column2]]+C$1-1)</f>
        <v/>
      </c>
      <c r="D114" s="429"/>
      <c r="E114" s="236"/>
      <c r="F114" s="234"/>
      <c r="G114" s="234" t="str">
        <f ca="1">IF(Table1[[#This Row],[h_No. Invoice :]]="","",CONCATENATE("AM"," ",Table1[[#This Row],[h_No. Invoice :]]))</f>
        <v/>
      </c>
      <c r="H114" s="428" t="str">
        <f>IF(Table1[[#This Row],[Column5]]="","",INDEX(Table2[Column1],MATCH(Table1[[#This Row],[Column5]],Table2[a],0)))</f>
        <v/>
      </c>
      <c r="I114" s="234" t="str">
        <f>IF(Table1[[#This Row],[Column3]]=0,"",CONCATENATE(UPPER(Table1[[#This Row],[Column3]])," ",Table1[[#This Row],[Column4]]))</f>
        <v xml:space="preserve"> </v>
      </c>
      <c r="J114" s="234" t="str">
        <f>IF(Table1[[#This Row],[Column5]]="","",INDEX(Table2[e],IF(Table1[[#This Row],[Column5]]="","",MATCH(Table1[[#This Row],[Column5]],Table2[a],0)),))</f>
        <v/>
      </c>
      <c r="K114" s="234"/>
      <c r="L114" s="234"/>
      <c r="O114" s="428" t="str">
        <f>IF(Table1[[#This Row],[h_Item Description]]="","",INDEX([1]!db[NB PAJAK],MATCH(Table1[[#This Row],[h_Item Description]],[1]!db[kode],0)))</f>
        <v/>
      </c>
      <c r="Q114" s="237"/>
      <c r="R114" s="238"/>
      <c r="S114" s="238"/>
      <c r="T114" s="431" t="str">
        <f>Table1[[#This Row],[h_hargasetelahdiskon]]</f>
        <v/>
      </c>
      <c r="V114" s="234"/>
      <c r="W114" s="234" t="str">
        <f ca="1">IF(Table1[[#This Row],[Column12]]="","",IF(Table1[[#This Row],[//]]="",INDIRECT(ADDRESS(ROW()-1,COLUMN())),Table1[[#This Row],[//]]))</f>
        <v/>
      </c>
      <c r="X114" s="234" t="str">
        <f ca="1">IF(Table1[[#This Row],[h_id]]="","",COUNTIF(Table1[h_id],Table1[[#This Row],[h_id]]))</f>
        <v/>
      </c>
      <c r="Y114" s="237" t="str">
        <f>IF(Table1[[#This Row],[Column12]]="","",Table1[[#This Row],[Qty]]*Table1[[#This Row],[Column13]])</f>
        <v/>
      </c>
      <c r="Z114" s="431" t="str">
        <f>IF(Table1[[#This Row],[h_hargasebelumdiskon]]="","",IF(Table1[[#This Row],[Column14]]="",0,Table1[[#This Row],[h_hargasebelumdiskon]]*Table1[[#This Row],[Column14]]))</f>
        <v/>
      </c>
      <c r="AA114" s="431" t="str">
        <f>IF(Table1[[#This Row],[h_hargasebelumdiskon]]="","",IF(Table1[[#This Row],[Column15]]="",0,(Table1[[#This Row],[h_hargasebelumdiskon]]-Table1[[#This Row],[h_disc 1]])*Table1[[#This Row],[Column15]]))</f>
        <v/>
      </c>
      <c r="AB114" s="237" t="str">
        <f>IF(Table1[[#This Row],[Column12]]="","",Table1[[#This Row],[h_disc 1]]+Table1[[#This Row],[h_disc 2]])</f>
        <v/>
      </c>
      <c r="AC114" s="237" t="str">
        <f>IF(Table1[[#This Row],[Column12]]="","",Table1[[#This Row],[h_hargasebelumdiskon]]-Table1[[#This Row],[h_diskon]])</f>
        <v/>
      </c>
      <c r="AD114" s="237" t="str">
        <f ca="1">IF(Table1[[#This Row],[//]]="","",SUMIF(Table1[h_id],Table1[[#This Row],[h_id]],Table1[h_hargasetelahdiskon]))</f>
        <v/>
      </c>
      <c r="AF114" s="237" t="str">
        <f>Table1[[#This Row],[Column12]]&amp;Table1[[#This Row],[Unit]]&amp;Table1[[#This Row],[Column13]]</f>
        <v/>
      </c>
      <c r="AG114"/>
      <c r="AH114"/>
      <c r="AI114"/>
    </row>
    <row r="115" spans="1:35">
      <c r="A115" s="234">
        <f ca="1">IF(Table1[[#This Row],[No. Invoice :]]="","",ROW())</f>
        <v>115</v>
      </c>
      <c r="B115" s="428">
        <f ca="1">IF(Table1[[#This Row],[Column3]]="","",B$1+COUNT(INDIRECT("B$2:B"&amp;ROW()-1)))</f>
        <v>24050018</v>
      </c>
      <c r="C115" s="235">
        <f>IF(Table1[[#This Row],[Column2]]="","",Table1[[#This Row],[Column2]]+C$1-1)</f>
        <v>45425</v>
      </c>
      <c r="D115" s="429">
        <v>13</v>
      </c>
      <c r="E115" s="236" t="s">
        <v>385</v>
      </c>
      <c r="F115" s="234" t="s">
        <v>71</v>
      </c>
      <c r="G115" s="234" t="str">
        <f ca="1">IF(Table1[[#This Row],[h_No. Invoice :]]="","",CONCATENATE("AM"," ",Table1[[#This Row],[h_No. Invoice :]]))</f>
        <v>AM 24050018</v>
      </c>
      <c r="H115" s="428" t="str">
        <f>IF(Table1[[#This Row],[Column5]]="","",INDEX(Table2[Column1],MATCH(Table1[[#This Row],[Column5]],Table2[a],0)))</f>
        <v>KO</v>
      </c>
      <c r="I115" s="234" t="str">
        <f>IF(Table1[[#This Row],[Column3]]=0,"",CONCATENATE(UPPER(Table1[[#This Row],[Column3]])," ",Table1[[#This Row],[Column4]]))</f>
        <v>KO 4914</v>
      </c>
      <c r="J115" s="234" t="str">
        <f>IF(Table1[[#This Row],[Column5]]="","",INDEX(Table2[e],IF(Table1[[#This Row],[Column5]]="","",MATCH(Table1[[#This Row],[Column5]],Table2[a],0)),))</f>
        <v>CV SINAR CAHAYA NIRMALA BREBES</v>
      </c>
      <c r="K115" s="234">
        <v>2</v>
      </c>
      <c r="L115" s="234" t="s">
        <v>186</v>
      </c>
      <c r="N115" s="234" t="s">
        <v>352</v>
      </c>
      <c r="O115" s="428" t="str">
        <f>IF(Table1[[#This Row],[h_Item Description]]="","",INDEX([1]!db[NB PAJAK],MATCH(Table1[[#This Row],[h_Item Description]],[1]!db[kode],0)))</f>
        <v>PAPER CLIP WARNA KENKO 3100</v>
      </c>
      <c r="P115" s="234" t="s">
        <v>358</v>
      </c>
      <c r="Q115" s="237">
        <v>41400</v>
      </c>
      <c r="R115" s="238">
        <v>0.1</v>
      </c>
      <c r="S115" s="238"/>
      <c r="T115" s="431">
        <f>Table1[[#This Row],[h_hargasetelahdiskon]]</f>
        <v>74520</v>
      </c>
      <c r="U115" s="237" t="s">
        <v>129</v>
      </c>
      <c r="V115" s="234"/>
      <c r="W115" s="234">
        <f ca="1">IF(Table1[[#This Row],[Column12]]="","",IF(Table1[[#This Row],[//]]="",INDIRECT(ADDRESS(ROW()-1,COLUMN())),Table1[[#This Row],[//]]))</f>
        <v>115</v>
      </c>
      <c r="X115" s="234">
        <f ca="1">IF(Table1[[#This Row],[h_id]]="","",COUNTIF(Table1[h_id],Table1[[#This Row],[h_id]]))</f>
        <v>5</v>
      </c>
      <c r="Y115" s="237">
        <f>IF(Table1[[#This Row],[Column12]]="","",Table1[[#This Row],[Qty]]*Table1[[#This Row],[Column13]])</f>
        <v>82800</v>
      </c>
      <c r="Z115" s="431">
        <f>IF(Table1[[#This Row],[h_hargasebelumdiskon]]="","",IF(Table1[[#This Row],[Column14]]="",0,Table1[[#This Row],[h_hargasebelumdiskon]]*Table1[[#This Row],[Column14]]))</f>
        <v>8280</v>
      </c>
      <c r="AA115" s="431">
        <f>IF(Table1[[#This Row],[h_hargasebelumdiskon]]="","",IF(Table1[[#This Row],[Column15]]="",0,(Table1[[#This Row],[h_hargasebelumdiskon]]-Table1[[#This Row],[h_disc 1]])*Table1[[#This Row],[Column15]]))</f>
        <v>0</v>
      </c>
      <c r="AB115" s="237">
        <f>IF(Table1[[#This Row],[Column12]]="","",Table1[[#This Row],[h_disc 1]]+Table1[[#This Row],[h_disc 2]])</f>
        <v>8280</v>
      </c>
      <c r="AC115" s="237">
        <f>IF(Table1[[#This Row],[Column12]]="","",Table1[[#This Row],[h_hargasebelumdiskon]]-Table1[[#This Row],[h_diskon]])</f>
        <v>74520</v>
      </c>
      <c r="AD115" s="237">
        <f ca="1">IF(Table1[[#This Row],[//]]="","",SUMIF(Table1[h_id],Table1[[#This Row],[h_id]],Table1[h_hargasetelahdiskon]))</f>
        <v>1977690</v>
      </c>
      <c r="AF115" s="237" t="str">
        <f>Table1[[#This Row],[Column12]]&amp;Table1[[#This Row],[Unit]]&amp;Table1[[#This Row],[Column13]]</f>
        <v>PAPER CLIP WARNA KENKO 3100LSN41400</v>
      </c>
      <c r="AG115"/>
      <c r="AH115"/>
      <c r="AI115"/>
    </row>
    <row r="116" spans="1:35">
      <c r="A116" s="234" t="str">
        <f ca="1">IF(Table1[[#This Row],[No. Invoice :]]="","",ROW())</f>
        <v/>
      </c>
      <c r="B116" s="428" t="str">
        <f ca="1">IF(Table1[[#This Row],[Column3]]="","",B$1+COUNT(INDIRECT("B$2:B"&amp;ROW()-1)))</f>
        <v/>
      </c>
      <c r="C116" s="235" t="str">
        <f>IF(Table1[[#This Row],[Column2]]="","",Table1[[#This Row],[Column2]]+C$1-1)</f>
        <v/>
      </c>
      <c r="D116" s="429"/>
      <c r="E116" s="236"/>
      <c r="F116" s="234"/>
      <c r="G116" s="234" t="str">
        <f ca="1">IF(Table1[[#This Row],[h_No. Invoice :]]="","",CONCATENATE("AM"," ",Table1[[#This Row],[h_No. Invoice :]]))</f>
        <v/>
      </c>
      <c r="H116" s="428" t="str">
        <f>IF(Table1[[#This Row],[Column5]]="","",INDEX(Table2[Column1],MATCH(Table1[[#This Row],[Column5]],Table2[a],0)))</f>
        <v/>
      </c>
      <c r="I116" s="234" t="str">
        <f>IF(Table1[[#This Row],[Column3]]=0,"",CONCATENATE(UPPER(Table1[[#This Row],[Column3]])," ",Table1[[#This Row],[Column4]]))</f>
        <v xml:space="preserve"> </v>
      </c>
      <c r="J116" s="234" t="str">
        <f>IF(Table1[[#This Row],[Column5]]="","",INDEX(Table2[e],IF(Table1[[#This Row],[Column5]]="","",MATCH(Table1[[#This Row],[Column5]],Table2[a],0)),))</f>
        <v/>
      </c>
      <c r="K116" s="234">
        <v>3</v>
      </c>
      <c r="L116" s="234" t="s">
        <v>186</v>
      </c>
      <c r="N116" s="234" t="s">
        <v>386</v>
      </c>
      <c r="O116" s="428" t="str">
        <f>IF(Table1[[#This Row],[h_Item Description]]="","",INDEX([1]!db[NB PAJAK],MATCH(Table1[[#This Row],[h_Item Description]],[1]!db[kode],0)))</f>
        <v>SPIDOL PERMANEN KENKO PM-100 HITAM</v>
      </c>
      <c r="P116" s="234" t="s">
        <v>391</v>
      </c>
      <c r="Q116" s="237">
        <v>36000</v>
      </c>
      <c r="R116" s="238">
        <v>0.1</v>
      </c>
      <c r="S116" s="238"/>
      <c r="T116" s="431">
        <f>Table1[[#This Row],[h_hargasetelahdiskon]]</f>
        <v>97200</v>
      </c>
      <c r="V116" s="234"/>
      <c r="W116" s="234">
        <f ca="1">IF(Table1[[#This Row],[Column12]]="","",IF(Table1[[#This Row],[//]]="",INDIRECT(ADDRESS(ROW()-1,COLUMN())),Table1[[#This Row],[//]]))</f>
        <v>115</v>
      </c>
      <c r="X116" s="234">
        <f ca="1">IF(Table1[[#This Row],[h_id]]="","",COUNTIF(Table1[h_id],Table1[[#This Row],[h_id]]))</f>
        <v>5</v>
      </c>
      <c r="Y116" s="237">
        <f>IF(Table1[[#This Row],[Column12]]="","",Table1[[#This Row],[Qty]]*Table1[[#This Row],[Column13]])</f>
        <v>108000</v>
      </c>
      <c r="Z116" s="431">
        <f>IF(Table1[[#This Row],[h_hargasebelumdiskon]]="","",IF(Table1[[#This Row],[Column14]]="",0,Table1[[#This Row],[h_hargasebelumdiskon]]*Table1[[#This Row],[Column14]]))</f>
        <v>10800</v>
      </c>
      <c r="AA116" s="431">
        <f>IF(Table1[[#This Row],[h_hargasebelumdiskon]]="","",IF(Table1[[#This Row],[Column15]]="",0,(Table1[[#This Row],[h_hargasebelumdiskon]]-Table1[[#This Row],[h_disc 1]])*Table1[[#This Row],[Column15]]))</f>
        <v>0</v>
      </c>
      <c r="AB116" s="237">
        <f>IF(Table1[[#This Row],[Column12]]="","",Table1[[#This Row],[h_disc 1]]+Table1[[#This Row],[h_disc 2]])</f>
        <v>10800</v>
      </c>
      <c r="AC116" s="237">
        <f>IF(Table1[[#This Row],[Column12]]="","",Table1[[#This Row],[h_hargasebelumdiskon]]-Table1[[#This Row],[h_diskon]])</f>
        <v>97200</v>
      </c>
      <c r="AD116" s="237" t="str">
        <f ca="1">IF(Table1[[#This Row],[//]]="","",SUMIF(Table1[h_id],Table1[[#This Row],[h_id]],Table1[h_hargasetelahdiskon]))</f>
        <v/>
      </c>
      <c r="AF116" s="237" t="str">
        <f>Table1[[#This Row],[Column12]]&amp;Table1[[#This Row],[Unit]]&amp;Table1[[#This Row],[Column13]]</f>
        <v>SPIDOL PERMANEN KENKO PM-100 HITAMLSN36000</v>
      </c>
      <c r="AG116"/>
      <c r="AH116"/>
      <c r="AI116"/>
    </row>
    <row r="117" spans="1:35">
      <c r="A117" s="234" t="str">
        <f ca="1">IF(Table1[[#This Row],[No. Invoice :]]="","",ROW())</f>
        <v/>
      </c>
      <c r="B117" s="428" t="str">
        <f ca="1">IF(Table1[[#This Row],[Column3]]="","",B$1+COUNT(INDIRECT("B$2:B"&amp;ROW()-1)))</f>
        <v/>
      </c>
      <c r="C117" s="235" t="str">
        <f>IF(Table1[[#This Row],[Column2]]="","",Table1[[#This Row],[Column2]]+C$1-1)</f>
        <v/>
      </c>
      <c r="D117" s="429"/>
      <c r="E117" s="236"/>
      <c r="F117" s="234"/>
      <c r="G117" s="234" t="str">
        <f ca="1">IF(Table1[[#This Row],[h_No. Invoice :]]="","",CONCATENATE("AM"," ",Table1[[#This Row],[h_No. Invoice :]]))</f>
        <v/>
      </c>
      <c r="H117" s="428" t="str">
        <f>IF(Table1[[#This Row],[Column5]]="","",INDEX(Table2[Column1],MATCH(Table1[[#This Row],[Column5]],Table2[a],0)))</f>
        <v/>
      </c>
      <c r="I117" s="234" t="str">
        <f>IF(Table1[[#This Row],[Column3]]=0,"",CONCATENATE(UPPER(Table1[[#This Row],[Column3]])," ",Table1[[#This Row],[Column4]]))</f>
        <v xml:space="preserve"> </v>
      </c>
      <c r="J117" s="234" t="str">
        <f>IF(Table1[[#This Row],[Column5]]="","",INDEX(Table2[e],IF(Table1[[#This Row],[Column5]]="","",MATCH(Table1[[#This Row],[Column5]],Table2[a],0)),))</f>
        <v/>
      </c>
      <c r="K117" s="234">
        <v>3</v>
      </c>
      <c r="L117" s="234" t="s">
        <v>186</v>
      </c>
      <c r="N117" s="234" t="s">
        <v>362</v>
      </c>
      <c r="O117" s="428" t="str">
        <f>IF(Table1[[#This Row],[h_Item Description]]="","",INDEX([1]!db[NB PAJAK],MATCH(Table1[[#This Row],[h_Item Description]],[1]!db[kode],0)))</f>
        <v>GEL PEN KENKO EASY GEL 0.3MM HITAM</v>
      </c>
      <c r="P117" s="234" t="s">
        <v>364</v>
      </c>
      <c r="Q117" s="237">
        <v>26100</v>
      </c>
      <c r="R117" s="238">
        <v>0.1</v>
      </c>
      <c r="S117" s="238"/>
      <c r="T117" s="431">
        <f>Table1[[#This Row],[h_hargasetelahdiskon]]</f>
        <v>70470</v>
      </c>
      <c r="V117" s="234"/>
      <c r="W117" s="234">
        <f ca="1">IF(Table1[[#This Row],[Column12]]="","",IF(Table1[[#This Row],[//]]="",INDIRECT(ADDRESS(ROW()-1,COLUMN())),Table1[[#This Row],[//]]))</f>
        <v>115</v>
      </c>
      <c r="X117" s="234">
        <f ca="1">IF(Table1[[#This Row],[h_id]]="","",COUNTIF(Table1[h_id],Table1[[#This Row],[h_id]]))</f>
        <v>5</v>
      </c>
      <c r="Y117" s="237">
        <f>IF(Table1[[#This Row],[Column12]]="","",Table1[[#This Row],[Qty]]*Table1[[#This Row],[Column13]])</f>
        <v>78300</v>
      </c>
      <c r="Z117" s="431">
        <f>IF(Table1[[#This Row],[h_hargasebelumdiskon]]="","",IF(Table1[[#This Row],[Column14]]="",0,Table1[[#This Row],[h_hargasebelumdiskon]]*Table1[[#This Row],[Column14]]))</f>
        <v>7830</v>
      </c>
      <c r="AA117" s="431">
        <f>IF(Table1[[#This Row],[h_hargasebelumdiskon]]="","",IF(Table1[[#This Row],[Column15]]="",0,(Table1[[#This Row],[h_hargasebelumdiskon]]-Table1[[#This Row],[h_disc 1]])*Table1[[#This Row],[Column15]]))</f>
        <v>0</v>
      </c>
      <c r="AB117" s="237">
        <f>IF(Table1[[#This Row],[Column12]]="","",Table1[[#This Row],[h_disc 1]]+Table1[[#This Row],[h_disc 2]])</f>
        <v>7830</v>
      </c>
      <c r="AC117" s="237">
        <f>IF(Table1[[#This Row],[Column12]]="","",Table1[[#This Row],[h_hargasebelumdiskon]]-Table1[[#This Row],[h_diskon]])</f>
        <v>70470</v>
      </c>
      <c r="AD117" s="237" t="str">
        <f ca="1">IF(Table1[[#This Row],[//]]="","",SUMIF(Table1[h_id],Table1[[#This Row],[h_id]],Table1[h_hargasetelahdiskon]))</f>
        <v/>
      </c>
      <c r="AF117" s="237" t="str">
        <f>Table1[[#This Row],[Column12]]&amp;Table1[[#This Row],[Unit]]&amp;Table1[[#This Row],[Column13]]</f>
        <v>GEL PEN KENKO EASY GEL 0.3MM HITAMLSN26100</v>
      </c>
      <c r="AG117"/>
      <c r="AH117"/>
      <c r="AI117"/>
    </row>
    <row r="118" spans="1:35">
      <c r="A118" s="234" t="str">
        <f ca="1">IF(Table1[[#This Row],[No. Invoice :]]="","",ROW())</f>
        <v/>
      </c>
      <c r="B118" s="428" t="str">
        <f ca="1">IF(Table1[[#This Row],[Column3]]="","",B$1+COUNT(INDIRECT("B$2:B"&amp;ROW()-1)))</f>
        <v/>
      </c>
      <c r="C118" s="235" t="str">
        <f>IF(Table1[[#This Row],[Column2]]="","",Table1[[#This Row],[Column2]]+C$1-1)</f>
        <v/>
      </c>
      <c r="D118" s="429"/>
      <c r="E118" s="236"/>
      <c r="F118" s="234"/>
      <c r="G118" s="234" t="str">
        <f ca="1">IF(Table1[[#This Row],[h_No. Invoice :]]="","",CONCATENATE("AM"," ",Table1[[#This Row],[h_No. Invoice :]]))</f>
        <v/>
      </c>
      <c r="H118" s="428" t="str">
        <f>IF(Table1[[#This Row],[Column5]]="","",INDEX(Table2[Column1],MATCH(Table1[[#This Row],[Column5]],Table2[a],0)))</f>
        <v/>
      </c>
      <c r="I118" s="234" t="str">
        <f>IF(Table1[[#This Row],[Column3]]=0,"",CONCATENATE(UPPER(Table1[[#This Row],[Column3]])," ",Table1[[#This Row],[Column4]]))</f>
        <v xml:space="preserve"> </v>
      </c>
      <c r="J118" s="234" t="str">
        <f>IF(Table1[[#This Row],[Column5]]="","",INDEX(Table2[e],IF(Table1[[#This Row],[Column5]]="","",MATCH(Table1[[#This Row],[Column5]],Table2[a],0)),))</f>
        <v/>
      </c>
      <c r="K118" s="234">
        <v>15</v>
      </c>
      <c r="L118" s="234" t="s">
        <v>135</v>
      </c>
      <c r="N118" s="234" t="s">
        <v>387</v>
      </c>
      <c r="O118" s="428" t="str">
        <f>IF(Table1[[#This Row],[h_Item Description]]="","",INDEX([1]!db[NB PAJAK],MATCH(Table1[[#This Row],[h_Item Description]],[1]!db[kode],0)))</f>
        <v>LOOSE LEAF KENKO B5-LL 100-2670</v>
      </c>
      <c r="P118" s="234" t="s">
        <v>392</v>
      </c>
      <c r="Q118" s="237">
        <v>13000</v>
      </c>
      <c r="R118" s="238">
        <v>0.1</v>
      </c>
      <c r="S118" s="238"/>
      <c r="T118" s="431">
        <f>Table1[[#This Row],[h_hargasetelahdiskon]]</f>
        <v>175500</v>
      </c>
      <c r="V118" s="234"/>
      <c r="W118" s="234">
        <f ca="1">IF(Table1[[#This Row],[Column12]]="","",IF(Table1[[#This Row],[//]]="",INDIRECT(ADDRESS(ROW()-1,COLUMN())),Table1[[#This Row],[//]]))</f>
        <v>115</v>
      </c>
      <c r="X118" s="234">
        <f ca="1">IF(Table1[[#This Row],[h_id]]="","",COUNTIF(Table1[h_id],Table1[[#This Row],[h_id]]))</f>
        <v>5</v>
      </c>
      <c r="Y118" s="237">
        <f>IF(Table1[[#This Row],[Column12]]="","",Table1[[#This Row],[Qty]]*Table1[[#This Row],[Column13]])</f>
        <v>195000</v>
      </c>
      <c r="Z118" s="431">
        <f>IF(Table1[[#This Row],[h_hargasebelumdiskon]]="","",IF(Table1[[#This Row],[Column14]]="",0,Table1[[#This Row],[h_hargasebelumdiskon]]*Table1[[#This Row],[Column14]]))</f>
        <v>19500</v>
      </c>
      <c r="AA118" s="431">
        <f>IF(Table1[[#This Row],[h_hargasebelumdiskon]]="","",IF(Table1[[#This Row],[Column15]]="",0,(Table1[[#This Row],[h_hargasebelumdiskon]]-Table1[[#This Row],[h_disc 1]])*Table1[[#This Row],[Column15]]))</f>
        <v>0</v>
      </c>
      <c r="AB118" s="237">
        <f>IF(Table1[[#This Row],[Column12]]="","",Table1[[#This Row],[h_disc 1]]+Table1[[#This Row],[h_disc 2]])</f>
        <v>19500</v>
      </c>
      <c r="AC118" s="237">
        <f>IF(Table1[[#This Row],[Column12]]="","",Table1[[#This Row],[h_hargasebelumdiskon]]-Table1[[#This Row],[h_diskon]])</f>
        <v>175500</v>
      </c>
      <c r="AD118" s="237" t="str">
        <f ca="1">IF(Table1[[#This Row],[//]]="","",SUMIF(Table1[h_id],Table1[[#This Row],[h_id]],Table1[h_hargasetelahdiskon]))</f>
        <v/>
      </c>
      <c r="AF118" s="237" t="str">
        <f>Table1[[#This Row],[Column12]]&amp;Table1[[#This Row],[Unit]]&amp;Table1[[#This Row],[Column13]]</f>
        <v>LOOSE LEAF KENKO B5-LL 100-2670PAK13000</v>
      </c>
      <c r="AG118"/>
      <c r="AH118"/>
      <c r="AI118"/>
    </row>
    <row r="119" spans="1:35">
      <c r="A119" s="234" t="str">
        <f ca="1">IF(Table1[[#This Row],[No. Invoice :]]="","",ROW())</f>
        <v/>
      </c>
      <c r="B119" s="428" t="str">
        <f ca="1">IF(Table1[[#This Row],[Column3]]="","",B$1+COUNT(INDIRECT("B$2:B"&amp;ROW()-1)))</f>
        <v/>
      </c>
      <c r="C119" s="235" t="str">
        <f>IF(Table1[[#This Row],[Column2]]="","",Table1[[#This Row],[Column2]]+C$1-1)</f>
        <v/>
      </c>
      <c r="D119" s="429"/>
      <c r="E119" s="236"/>
      <c r="F119" s="234"/>
      <c r="G119" s="234" t="str">
        <f ca="1">IF(Table1[[#This Row],[h_No. Invoice :]]="","",CONCATENATE("AM"," ",Table1[[#This Row],[h_No. Invoice :]]))</f>
        <v/>
      </c>
      <c r="H119" s="428" t="str">
        <f>IF(Table1[[#This Row],[Column5]]="","",INDEX(Table2[Column1],MATCH(Table1[[#This Row],[Column5]],Table2[a],0)))</f>
        <v/>
      </c>
      <c r="I119" s="234" t="str">
        <f>IF(Table1[[#This Row],[Column3]]=0,"",CONCATENATE(UPPER(Table1[[#This Row],[Column3]])," ",Table1[[#This Row],[Column4]]))</f>
        <v xml:space="preserve"> </v>
      </c>
      <c r="J119" s="234" t="str">
        <f>IF(Table1[[#This Row],[Column5]]="","",INDEX(Table2[e],IF(Table1[[#This Row],[Column5]]="","",MATCH(Table1[[#This Row],[Column5]],Table2[a],0)),))</f>
        <v/>
      </c>
      <c r="K119" s="234">
        <v>240</v>
      </c>
      <c r="L119" s="234" t="s">
        <v>197</v>
      </c>
      <c r="M119" s="234">
        <v>1</v>
      </c>
      <c r="N119" s="424" t="s">
        <v>389</v>
      </c>
      <c r="O119" s="428" t="str">
        <f>IF(Table1[[#This Row],[h_Item Description]]="","",INDEX([1]!db[NB PAJAK],MATCH(Table1[[#This Row],[h_Item Description]],[1]!db[kode],0)))</f>
        <v>SAMPUL SAMSON KWARTO BATIK</v>
      </c>
      <c r="P119" s="234" t="s">
        <v>393</v>
      </c>
      <c r="Q119" s="237">
        <v>6500</v>
      </c>
      <c r="R119" s="238"/>
      <c r="S119" s="238"/>
      <c r="T119" s="431">
        <f>Table1[[#This Row],[h_hargasetelahdiskon]]</f>
        <v>1560000</v>
      </c>
      <c r="V119" s="234"/>
      <c r="W119" s="234">
        <f ca="1">IF(Table1[[#This Row],[Column12]]="","",IF(Table1[[#This Row],[//]]="",INDIRECT(ADDRESS(ROW()-1,COLUMN())),Table1[[#This Row],[//]]))</f>
        <v>115</v>
      </c>
      <c r="X119" s="234">
        <f ca="1">IF(Table1[[#This Row],[h_id]]="","",COUNTIF(Table1[h_id],Table1[[#This Row],[h_id]]))</f>
        <v>5</v>
      </c>
      <c r="Y119" s="237">
        <f>IF(Table1[[#This Row],[Column12]]="","",Table1[[#This Row],[Qty]]*Table1[[#This Row],[Column13]])</f>
        <v>1560000</v>
      </c>
      <c r="Z119" s="431">
        <f>IF(Table1[[#This Row],[h_hargasebelumdiskon]]="","",IF(Table1[[#This Row],[Column14]]="",0,Table1[[#This Row],[h_hargasebelumdiskon]]*Table1[[#This Row],[Column14]]))</f>
        <v>0</v>
      </c>
      <c r="AA119" s="431">
        <f>IF(Table1[[#This Row],[h_hargasebelumdiskon]]="","",IF(Table1[[#This Row],[Column15]]="",0,(Table1[[#This Row],[h_hargasebelumdiskon]]-Table1[[#This Row],[h_disc 1]])*Table1[[#This Row],[Column15]]))</f>
        <v>0</v>
      </c>
      <c r="AB119" s="237">
        <f>IF(Table1[[#This Row],[Column12]]="","",Table1[[#This Row],[h_disc 1]]+Table1[[#This Row],[h_disc 2]])</f>
        <v>0</v>
      </c>
      <c r="AC119" s="237">
        <f>IF(Table1[[#This Row],[Column12]]="","",Table1[[#This Row],[h_hargasebelumdiskon]]-Table1[[#This Row],[h_diskon]])</f>
        <v>1560000</v>
      </c>
      <c r="AD119" s="237" t="str">
        <f ca="1">IF(Table1[[#This Row],[//]]="","",SUMIF(Table1[h_id],Table1[[#This Row],[h_id]],Table1[h_hargasetelahdiskon]))</f>
        <v/>
      </c>
      <c r="AF119" s="237" t="str">
        <f>Table1[[#This Row],[Column12]]&amp;Table1[[#This Row],[Unit]]&amp;Table1[[#This Row],[Column13]]</f>
        <v>SAMPUL SAMSON KWARTO BATIKPCS6500</v>
      </c>
      <c r="AG119"/>
      <c r="AH119"/>
      <c r="AI119"/>
    </row>
    <row r="120" spans="1:35">
      <c r="A120" s="577" t="str">
        <f ca="1">IF(Table1[[#This Row],[No. Invoice :]]="","",ROW())</f>
        <v/>
      </c>
      <c r="B120" s="578" t="str">
        <f ca="1">IF(Table1[[#This Row],[Column3]]="","",B$1+COUNT(INDIRECT("B$2:B"&amp;ROW()-1)))</f>
        <v/>
      </c>
      <c r="C120" s="579" t="str">
        <f>IF(Table1[[#This Row],[Column2]]="","",Table1[[#This Row],[Column2]]+C$1-1)</f>
        <v/>
      </c>
      <c r="D120" s="580"/>
      <c r="E120" s="581"/>
      <c r="F120" s="582"/>
      <c r="G120" s="577" t="str">
        <f ca="1">IF(Table1[[#This Row],[h_No. Invoice :]]="","",CONCATENATE("AM"," ",Table1[[#This Row],[h_No. Invoice :]]))</f>
        <v/>
      </c>
      <c r="H120" s="578" t="str">
        <f>IF(Table1[[#This Row],[Column5]]="","",INDEX(Table2[Column1],MATCH(Table1[[#This Row],[Column5]],Table2[a],0)))</f>
        <v/>
      </c>
      <c r="I120" s="577" t="str">
        <f>IF(Table1[[#This Row],[Column3]]=0,"",CONCATENATE(UPPER(Table1[[#This Row],[Column3]])," ",Table1[[#This Row],[Column4]]))</f>
        <v xml:space="preserve"> </v>
      </c>
      <c r="J120" s="577" t="str">
        <f>IF(Table1[[#This Row],[Column5]]="","",INDEX(Table2[e],IF(Table1[[#This Row],[Column5]]="","",MATCH(Table1[[#This Row],[Column5]],Table2[a],0)),))</f>
        <v/>
      </c>
      <c r="K120" s="583"/>
      <c r="L120" s="583"/>
      <c r="M120" s="583"/>
      <c r="N120" s="582"/>
      <c r="O120" s="578" t="str">
        <f>IF(Table1[[#This Row],[h_Item Description]]="","",INDEX([1]!db[NB PAJAK],MATCH(Table1[[#This Row],[h_Item Description]],[1]!db[kode],0)))</f>
        <v/>
      </c>
      <c r="P120" s="583"/>
      <c r="Q120" s="584"/>
      <c r="R120" s="585"/>
      <c r="S120" s="585"/>
      <c r="T120" s="586" t="str">
        <f>Table1[[#This Row],[h_hargasetelahdiskon]]</f>
        <v/>
      </c>
      <c r="U120" s="584"/>
      <c r="V120" s="583"/>
      <c r="W120" s="577" t="str">
        <f ca="1">IF(Table1[[#This Row],[Column12]]="","",IF(Table1[[#This Row],[//]]="",INDIRECT(ADDRESS(ROW()-1,COLUMN())),Table1[[#This Row],[//]]))</f>
        <v/>
      </c>
      <c r="X120" s="577" t="str">
        <f ca="1">IF(Table1[[#This Row],[h_id]]="","",COUNTIF(Table1[h_id],Table1[[#This Row],[h_id]]))</f>
        <v/>
      </c>
      <c r="Y120" s="584" t="str">
        <f>IF(Table1[[#This Row],[Column12]]="","",Table1[[#This Row],[Qty]]*Table1[[#This Row],[Column13]])</f>
        <v/>
      </c>
      <c r="Z120" s="586" t="str">
        <f>IF(Table1[[#This Row],[h_hargasebelumdiskon]]="","",IF(Table1[[#This Row],[Column14]]="",0,Table1[[#This Row],[h_hargasebelumdiskon]]*Table1[[#This Row],[Column14]]))</f>
        <v/>
      </c>
      <c r="AA120" s="586" t="str">
        <f>IF(Table1[[#This Row],[h_hargasebelumdiskon]]="","",IF(Table1[[#This Row],[Column15]]="",0,(Table1[[#This Row],[h_hargasebelumdiskon]]-Table1[[#This Row],[h_disc 1]])*Table1[[#This Row],[Column15]]))</f>
        <v/>
      </c>
      <c r="AB120" s="584" t="str">
        <f>IF(Table1[[#This Row],[Column12]]="","",Table1[[#This Row],[h_disc 1]]+Table1[[#This Row],[h_disc 2]])</f>
        <v/>
      </c>
      <c r="AC120" s="584" t="str">
        <f>IF(Table1[[#This Row],[Column12]]="","",Table1[[#This Row],[h_hargasebelumdiskon]]-Table1[[#This Row],[h_diskon]])</f>
        <v/>
      </c>
      <c r="AD120" s="584" t="str">
        <f ca="1">IF(Table1[[#This Row],[//]]="","",SUMIF(Table1[h_id],Table1[[#This Row],[h_id]],Table1[h_hargasetelahdiskon]))</f>
        <v/>
      </c>
      <c r="AE120" s="584"/>
      <c r="AF120" s="584" t="str">
        <f>Table1[[#This Row],[Column12]]&amp;Table1[[#This Row],[Unit]]&amp;Table1[[#This Row],[Column13]]</f>
        <v/>
      </c>
      <c r="AG120"/>
      <c r="AH120"/>
      <c r="AI120"/>
    </row>
    <row r="121" spans="1:35">
      <c r="A121" s="577" t="str">
        <f ca="1">IF(Table1[[#This Row],[No. Invoice :]]="","",ROW())</f>
        <v/>
      </c>
      <c r="B121" s="578" t="str">
        <f ca="1">IF(Table1[[#This Row],[Column3]]="","",B$1+COUNT(INDIRECT("B$2:B"&amp;ROW()-1)))</f>
        <v/>
      </c>
      <c r="C121" s="579" t="str">
        <f>IF(Table1[[#This Row],[Column2]]="","",Table1[[#This Row],[Column2]]+C$1-1)</f>
        <v/>
      </c>
      <c r="D121" s="580"/>
      <c r="E121" s="581"/>
      <c r="F121" s="582"/>
      <c r="G121" s="577" t="str">
        <f ca="1">IF(Table1[[#This Row],[h_No. Invoice :]]="","",CONCATENATE("AM"," ",Table1[[#This Row],[h_No. Invoice :]]))</f>
        <v/>
      </c>
      <c r="H121" s="578" t="str">
        <f>IF(Table1[[#This Row],[Column5]]="","",INDEX(Table2[Column1],MATCH(Table1[[#This Row],[Column5]],Table2[a],0)))</f>
        <v/>
      </c>
      <c r="I121" s="577" t="str">
        <f>IF(Table1[[#This Row],[Column3]]=0,"",CONCATENATE(UPPER(Table1[[#This Row],[Column3]])," ",Table1[[#This Row],[Column4]]))</f>
        <v xml:space="preserve"> </v>
      </c>
      <c r="J121" s="577" t="str">
        <f>IF(Table1[[#This Row],[Column5]]="","",INDEX(Table2[e],IF(Table1[[#This Row],[Column5]]="","",MATCH(Table1[[#This Row],[Column5]],Table2[a],0)),))</f>
        <v/>
      </c>
      <c r="K121" s="583"/>
      <c r="L121" s="583"/>
      <c r="M121" s="583"/>
      <c r="N121" s="582"/>
      <c r="O121" s="578" t="str">
        <f>IF(Table1[[#This Row],[h_Item Description]]="","",INDEX([1]!db[NB PAJAK],MATCH(Table1[[#This Row],[h_Item Description]],[1]!db[kode],0)))</f>
        <v/>
      </c>
      <c r="P121" s="583"/>
      <c r="Q121" s="584"/>
      <c r="R121" s="585"/>
      <c r="S121" s="585"/>
      <c r="T121" s="586" t="str">
        <f>Table1[[#This Row],[h_hargasetelahdiskon]]</f>
        <v/>
      </c>
      <c r="U121" s="584"/>
      <c r="V121" s="583"/>
      <c r="W121" s="577" t="str">
        <f ca="1">IF(Table1[[#This Row],[Column12]]="","",IF(Table1[[#This Row],[//]]="",INDIRECT(ADDRESS(ROW()-1,COLUMN())),Table1[[#This Row],[//]]))</f>
        <v/>
      </c>
      <c r="X121" s="577" t="str">
        <f ca="1">IF(Table1[[#This Row],[h_id]]="","",COUNTIF(Table1[h_id],Table1[[#This Row],[h_id]]))</f>
        <v/>
      </c>
      <c r="Y121" s="584" t="str">
        <f>IF(Table1[[#This Row],[Column12]]="","",Table1[[#This Row],[Qty]]*Table1[[#This Row],[Column13]])</f>
        <v/>
      </c>
      <c r="Z121" s="586" t="str">
        <f>IF(Table1[[#This Row],[h_hargasebelumdiskon]]="","",IF(Table1[[#This Row],[Column14]]="",0,Table1[[#This Row],[h_hargasebelumdiskon]]*Table1[[#This Row],[Column14]]))</f>
        <v/>
      </c>
      <c r="AA121" s="586" t="str">
        <f>IF(Table1[[#This Row],[h_hargasebelumdiskon]]="","",IF(Table1[[#This Row],[Column15]]="",0,(Table1[[#This Row],[h_hargasebelumdiskon]]-Table1[[#This Row],[h_disc 1]])*Table1[[#This Row],[Column15]]))</f>
        <v/>
      </c>
      <c r="AB121" s="584" t="str">
        <f>IF(Table1[[#This Row],[Column12]]="","",Table1[[#This Row],[h_disc 1]]+Table1[[#This Row],[h_disc 2]])</f>
        <v/>
      </c>
      <c r="AC121" s="584" t="str">
        <f>IF(Table1[[#This Row],[Column12]]="","",Table1[[#This Row],[h_hargasebelumdiskon]]-Table1[[#This Row],[h_diskon]])</f>
        <v/>
      </c>
      <c r="AD121" s="584" t="str">
        <f ca="1">IF(Table1[[#This Row],[//]]="","",SUMIF(Table1[h_id],Table1[[#This Row],[h_id]],Table1[h_hargasetelahdiskon]))</f>
        <v/>
      </c>
      <c r="AE121" s="584"/>
      <c r="AF121" s="584" t="str">
        <f>Table1[[#This Row],[Column12]]&amp;Table1[[#This Row],[Unit]]&amp;Table1[[#This Row],[Column13]]</f>
        <v/>
      </c>
      <c r="AG121"/>
      <c r="AH121"/>
      <c r="AI121"/>
    </row>
    <row r="122" spans="1:35">
      <c r="A122" s="577" t="str">
        <f ca="1">IF(Table1[[#This Row],[No. Invoice :]]="","",ROW())</f>
        <v/>
      </c>
      <c r="B122" s="578" t="str">
        <f ca="1">IF(Table1[[#This Row],[Column3]]="","",B$1+COUNT(INDIRECT("B$2:B"&amp;ROW()-1)))</f>
        <v/>
      </c>
      <c r="C122" s="579" t="str">
        <f>IF(Table1[[#This Row],[Column2]]="","",Table1[[#This Row],[Column2]]+C$1-1)</f>
        <v/>
      </c>
      <c r="D122" s="580"/>
      <c r="E122" s="581"/>
      <c r="F122" s="582"/>
      <c r="G122" s="577" t="str">
        <f ca="1">IF(Table1[[#This Row],[h_No. Invoice :]]="","",CONCATENATE("AM"," ",Table1[[#This Row],[h_No. Invoice :]]))</f>
        <v/>
      </c>
      <c r="H122" s="578" t="str">
        <f>IF(Table1[[#This Row],[Column5]]="","",INDEX(Table2[Column1],MATCH(Table1[[#This Row],[Column5]],Table2[a],0)))</f>
        <v/>
      </c>
      <c r="I122" s="577" t="str">
        <f>IF(Table1[[#This Row],[Column3]]=0,"",CONCATENATE(UPPER(Table1[[#This Row],[Column3]])," ",Table1[[#This Row],[Column4]]))</f>
        <v xml:space="preserve"> </v>
      </c>
      <c r="J122" s="577" t="str">
        <f>IF(Table1[[#This Row],[Column5]]="","",INDEX(Table2[e],IF(Table1[[#This Row],[Column5]]="","",MATCH(Table1[[#This Row],[Column5]],Table2[a],0)),))</f>
        <v/>
      </c>
      <c r="K122" s="583"/>
      <c r="L122" s="583"/>
      <c r="M122" s="583"/>
      <c r="N122" s="582"/>
      <c r="O122" s="578" t="str">
        <f>IF(Table1[[#This Row],[h_Item Description]]="","",INDEX([1]!db[NB PAJAK],MATCH(Table1[[#This Row],[h_Item Description]],[1]!db[kode],0)))</f>
        <v/>
      </c>
      <c r="P122" s="583"/>
      <c r="Q122" s="584"/>
      <c r="R122" s="585"/>
      <c r="S122" s="585"/>
      <c r="T122" s="586" t="str">
        <f>Table1[[#This Row],[h_hargasetelahdiskon]]</f>
        <v/>
      </c>
      <c r="U122" s="584"/>
      <c r="V122" s="583"/>
      <c r="W122" s="577" t="str">
        <f ca="1">IF(Table1[[#This Row],[Column12]]="","",IF(Table1[[#This Row],[//]]="",INDIRECT(ADDRESS(ROW()-1,COLUMN())),Table1[[#This Row],[//]]))</f>
        <v/>
      </c>
      <c r="X122" s="577" t="str">
        <f ca="1">IF(Table1[[#This Row],[h_id]]="","",COUNTIF(Table1[h_id],Table1[[#This Row],[h_id]]))</f>
        <v/>
      </c>
      <c r="Y122" s="584" t="str">
        <f>IF(Table1[[#This Row],[Column12]]="","",Table1[[#This Row],[Qty]]*Table1[[#This Row],[Column13]])</f>
        <v/>
      </c>
      <c r="Z122" s="586" t="str">
        <f>IF(Table1[[#This Row],[h_hargasebelumdiskon]]="","",IF(Table1[[#This Row],[Column14]]="",0,Table1[[#This Row],[h_hargasebelumdiskon]]*Table1[[#This Row],[Column14]]))</f>
        <v/>
      </c>
      <c r="AA122" s="586" t="str">
        <f>IF(Table1[[#This Row],[h_hargasebelumdiskon]]="","",IF(Table1[[#This Row],[Column15]]="",0,(Table1[[#This Row],[h_hargasebelumdiskon]]-Table1[[#This Row],[h_disc 1]])*Table1[[#This Row],[Column15]]))</f>
        <v/>
      </c>
      <c r="AB122" s="584" t="str">
        <f>IF(Table1[[#This Row],[Column12]]="","",Table1[[#This Row],[h_disc 1]]+Table1[[#This Row],[h_disc 2]])</f>
        <v/>
      </c>
      <c r="AC122" s="584" t="str">
        <f>IF(Table1[[#This Row],[Column12]]="","",Table1[[#This Row],[h_hargasebelumdiskon]]-Table1[[#This Row],[h_diskon]])</f>
        <v/>
      </c>
      <c r="AD122" s="584" t="str">
        <f ca="1">IF(Table1[[#This Row],[//]]="","",SUMIF(Table1[h_id],Table1[[#This Row],[h_id]],Table1[h_hargasetelahdiskon]))</f>
        <v/>
      </c>
      <c r="AE122" s="584"/>
      <c r="AF122" s="584" t="str">
        <f>Table1[[#This Row],[Column12]]&amp;Table1[[#This Row],[Unit]]&amp;Table1[[#This Row],[Column13]]</f>
        <v/>
      </c>
      <c r="AG122"/>
      <c r="AH122"/>
      <c r="AI122"/>
    </row>
    <row r="123" spans="1:35">
      <c r="A123" s="577" t="str">
        <f ca="1">IF(Table1[[#This Row],[No. Invoice :]]="","",ROW())</f>
        <v/>
      </c>
      <c r="B123" s="578" t="str">
        <f ca="1">IF(Table1[[#This Row],[Column3]]="","",B$1+COUNT(INDIRECT("B$2:B"&amp;ROW()-1)))</f>
        <v/>
      </c>
      <c r="C123" s="579" t="str">
        <f>IF(Table1[[#This Row],[Column2]]="","",Table1[[#This Row],[Column2]]+C$1-1)</f>
        <v/>
      </c>
      <c r="D123" s="580"/>
      <c r="E123" s="581"/>
      <c r="F123" s="582"/>
      <c r="G123" s="577" t="str">
        <f ca="1">IF(Table1[[#This Row],[h_No. Invoice :]]="","",CONCATENATE("AM"," ",Table1[[#This Row],[h_No. Invoice :]]))</f>
        <v/>
      </c>
      <c r="H123" s="578" t="str">
        <f>IF(Table1[[#This Row],[Column5]]="","",INDEX(Table2[Column1],MATCH(Table1[[#This Row],[Column5]],Table2[a],0)))</f>
        <v/>
      </c>
      <c r="I123" s="577" t="str">
        <f>IF(Table1[[#This Row],[Column3]]=0,"",CONCATENATE(UPPER(Table1[[#This Row],[Column3]])," ",Table1[[#This Row],[Column4]]))</f>
        <v xml:space="preserve"> </v>
      </c>
      <c r="J123" s="577" t="str">
        <f>IF(Table1[[#This Row],[Column5]]="","",INDEX(Table2[e],IF(Table1[[#This Row],[Column5]]="","",MATCH(Table1[[#This Row],[Column5]],Table2[a],0)),))</f>
        <v/>
      </c>
      <c r="K123" s="583"/>
      <c r="L123" s="583"/>
      <c r="M123" s="583"/>
      <c r="N123" s="582"/>
      <c r="O123" s="578" t="str">
        <f>IF(Table1[[#This Row],[h_Item Description]]="","",INDEX([1]!db[NB PAJAK],MATCH(Table1[[#This Row],[h_Item Description]],[1]!db[kode],0)))</f>
        <v/>
      </c>
      <c r="P123" s="583"/>
      <c r="Q123" s="584"/>
      <c r="R123" s="585"/>
      <c r="S123" s="585"/>
      <c r="T123" s="586" t="str">
        <f>Table1[[#This Row],[h_hargasetelahdiskon]]</f>
        <v/>
      </c>
      <c r="U123" s="584"/>
      <c r="V123" s="583"/>
      <c r="W123" s="577" t="str">
        <f ca="1">IF(Table1[[#This Row],[Column12]]="","",IF(Table1[[#This Row],[//]]="",INDIRECT(ADDRESS(ROW()-1,COLUMN())),Table1[[#This Row],[//]]))</f>
        <v/>
      </c>
      <c r="X123" s="577" t="str">
        <f ca="1">IF(Table1[[#This Row],[h_id]]="","",COUNTIF(Table1[h_id],Table1[[#This Row],[h_id]]))</f>
        <v/>
      </c>
      <c r="Y123" s="584" t="str">
        <f>IF(Table1[[#This Row],[Column12]]="","",Table1[[#This Row],[Qty]]*Table1[[#This Row],[Column13]])</f>
        <v/>
      </c>
      <c r="Z123" s="586" t="str">
        <f>IF(Table1[[#This Row],[h_hargasebelumdiskon]]="","",IF(Table1[[#This Row],[Column14]]="",0,Table1[[#This Row],[h_hargasebelumdiskon]]*Table1[[#This Row],[Column14]]))</f>
        <v/>
      </c>
      <c r="AA123" s="586" t="str">
        <f>IF(Table1[[#This Row],[h_hargasebelumdiskon]]="","",IF(Table1[[#This Row],[Column15]]="",0,(Table1[[#This Row],[h_hargasebelumdiskon]]-Table1[[#This Row],[h_disc 1]])*Table1[[#This Row],[Column15]]))</f>
        <v/>
      </c>
      <c r="AB123" s="584" t="str">
        <f>IF(Table1[[#This Row],[Column12]]="","",Table1[[#This Row],[h_disc 1]]+Table1[[#This Row],[h_disc 2]])</f>
        <v/>
      </c>
      <c r="AC123" s="584" t="str">
        <f>IF(Table1[[#This Row],[Column12]]="","",Table1[[#This Row],[h_hargasebelumdiskon]]-Table1[[#This Row],[h_diskon]])</f>
        <v/>
      </c>
      <c r="AD123" s="584" t="str">
        <f ca="1">IF(Table1[[#This Row],[//]]="","",SUMIF(Table1[h_id],Table1[[#This Row],[h_id]],Table1[h_hargasetelahdiskon]))</f>
        <v/>
      </c>
      <c r="AE123" s="584"/>
      <c r="AF123" s="584" t="str">
        <f>Table1[[#This Row],[Column12]]&amp;Table1[[#This Row],[Unit]]&amp;Table1[[#This Row],[Column13]]</f>
        <v/>
      </c>
      <c r="AG123"/>
      <c r="AH123"/>
      <c r="AI123"/>
    </row>
    <row r="124" spans="1:35">
      <c r="A124" s="234">
        <f ca="1">IF(Table1[[#This Row],[No. Invoice :]]="","",ROW())</f>
        <v>124</v>
      </c>
      <c r="B124" s="428">
        <f ca="1">IF(Table1[[#This Row],[Column3]]="","",B$1+COUNT(INDIRECT("B$2:B"&amp;ROW()-1)))</f>
        <v>24050019</v>
      </c>
      <c r="C124" s="235">
        <f>IF(Table1[[#This Row],[Column2]]="","",Table1[[#This Row],[Column2]]+C$1-1)</f>
        <v>45412</v>
      </c>
      <c r="D124" s="429">
        <v>0</v>
      </c>
      <c r="E124" s="236" t="s">
        <v>401</v>
      </c>
      <c r="F124" s="234">
        <v>0</v>
      </c>
      <c r="G124" s="234" t="str">
        <f ca="1">IF(Table1[[#This Row],[h_No. Invoice :]]="","",CONCATENATE("AM"," ",Table1[[#This Row],[h_No. Invoice :]]))</f>
        <v>AM 24050019</v>
      </c>
      <c r="H124" s="428">
        <f>IF(Table1[[#This Row],[Column5]]="","",INDEX(Table2[Column1],MATCH(Table1[[#This Row],[Column5]],Table2[a],0)))</f>
        <v>0</v>
      </c>
      <c r="I124" s="234" t="str">
        <f>IF(Table1[[#This Row],[Column3]]=0,"",CONCATENATE(UPPER(Table1[[#This Row],[Column3]])," ",Table1[[#This Row],[Column4]]))</f>
        <v/>
      </c>
      <c r="J124" s="234" t="str">
        <f>IF(Table1[[#This Row],[Column5]]="","",INDEX(Table2[e],IF(Table1[[#This Row],[Column5]]="","",MATCH(Table1[[#This Row],[Column5]],Table2[a],0)),))</f>
        <v>0 0 0</v>
      </c>
      <c r="K124" s="234">
        <v>240</v>
      </c>
      <c r="L124" s="234" t="s">
        <v>197</v>
      </c>
      <c r="M124" s="234">
        <v>1</v>
      </c>
      <c r="N124" s="234" t="s">
        <v>388</v>
      </c>
      <c r="O124" s="428" t="e">
        <f>IF(Table1[[#This Row],[h_Item Description]]="","",INDEX([1]!db[NB PAJAK],MATCH(Table1[[#This Row],[h_Item Description]],[1]!db[kode],0)))</f>
        <v>#N/A</v>
      </c>
      <c r="P124" s="234" t="s">
        <v>390</v>
      </c>
      <c r="Q124" s="237">
        <v>6500</v>
      </c>
      <c r="R124" s="238"/>
      <c r="S124" s="238"/>
      <c r="T124" s="431">
        <f>Table1[[#This Row],[h_hargasetelahdiskon]]</f>
        <v>1560000</v>
      </c>
      <c r="V124" s="234"/>
      <c r="W124" s="234">
        <f ca="1">IF(Table1[[#This Row],[Column12]]="","",IF(Table1[[#This Row],[//]]="",INDIRECT(ADDRESS(ROW()-1,COLUMN())),Table1[[#This Row],[//]]))</f>
        <v>124</v>
      </c>
      <c r="X124" s="234">
        <f ca="1">IF(Table1[[#This Row],[h_id]]="","",COUNTIF(Table1[h_id],Table1[[#This Row],[h_id]]))</f>
        <v>1</v>
      </c>
      <c r="Y124" s="237">
        <f>IF(Table1[[#This Row],[Column12]]="","",Table1[[#This Row],[Qty]]*Table1[[#This Row],[Column13]])</f>
        <v>1560000</v>
      </c>
      <c r="Z124" s="431">
        <f>IF(Table1[[#This Row],[h_hargasebelumdiskon]]="","",IF(Table1[[#This Row],[Column14]]="",0,Table1[[#This Row],[h_hargasebelumdiskon]]*Table1[[#This Row],[Column14]]))</f>
        <v>0</v>
      </c>
      <c r="AA124" s="431">
        <f>IF(Table1[[#This Row],[h_hargasebelumdiskon]]="","",IF(Table1[[#This Row],[Column15]]="",0,(Table1[[#This Row],[h_hargasebelumdiskon]]-Table1[[#This Row],[h_disc 1]])*Table1[[#This Row],[Column15]]))</f>
        <v>0</v>
      </c>
      <c r="AB124" s="237">
        <f>IF(Table1[[#This Row],[Column12]]="","",Table1[[#This Row],[h_disc 1]]+Table1[[#This Row],[h_disc 2]])</f>
        <v>0</v>
      </c>
      <c r="AC124" s="237">
        <f>IF(Table1[[#This Row],[Column12]]="","",Table1[[#This Row],[h_hargasebelumdiskon]]-Table1[[#This Row],[h_diskon]])</f>
        <v>1560000</v>
      </c>
      <c r="AD124" s="237">
        <f ca="1">IF(Table1[[#This Row],[//]]="","",SUMIF(Table1[h_id],Table1[[#This Row],[h_id]],Table1[h_hargasetelahdiskon]))</f>
        <v>1560000</v>
      </c>
      <c r="AF124" s="237" t="str">
        <f>Table1[[#This Row],[Column12]]&amp;Table1[[#This Row],[Unit]]&amp;Table1[[#This Row],[Column13]]</f>
        <v>SAMPUL SAMSON KWARTO FANCYPCS6500</v>
      </c>
      <c r="AG124"/>
      <c r="AH124"/>
      <c r="AI124"/>
    </row>
    <row r="125" spans="1:35">
      <c r="A125" s="234" t="str">
        <f ca="1">IF(Table1[[#This Row],[No. Invoice :]]="","",ROW())</f>
        <v/>
      </c>
      <c r="B125" s="445" t="str">
        <f ca="1">IF(Table1[[#This Row],[Column3]]="","",B$1+COUNT(INDIRECT("B$2:B"&amp;ROW()-1)))</f>
        <v/>
      </c>
      <c r="C125" s="235" t="str">
        <f>IF(Table1[[#This Row],[Column2]]="","",Table1[[#This Row],[Column2]]+C$1-1)</f>
        <v/>
      </c>
      <c r="D125" s="446"/>
      <c r="E125" s="447"/>
      <c r="F125" s="445"/>
      <c r="G125" s="234" t="str">
        <f ca="1">IF(Table1[[#This Row],[h_No. Invoice :]]="","",CONCATENATE("AM"," ",Table1[[#This Row],[h_No. Invoice :]]))</f>
        <v/>
      </c>
      <c r="H125" s="445" t="str">
        <f>IF(Table1[[#This Row],[Column5]]="","",INDEX(Table2[Column1],MATCH(Table1[[#This Row],[Column5]],Table2[a],0)))</f>
        <v/>
      </c>
      <c r="I125" s="234" t="str">
        <f>IF(Table1[[#This Row],[Column3]]=0,"",CONCATENATE(UPPER(Table1[[#This Row],[Column3]])," ",Table1[[#This Row],[Column4]]))</f>
        <v xml:space="preserve"> </v>
      </c>
      <c r="J125" s="234" t="str">
        <f>IF(Table1[[#This Row],[Column5]]="","",INDEX(Table2[e],IF(Table1[[#This Row],[Column5]]="","",MATCH(Table1[[#This Row],[Column5]],Table2[a],0)),))</f>
        <v/>
      </c>
      <c r="K125" s="234"/>
      <c r="L125" s="234"/>
      <c r="N125" s="445"/>
      <c r="O125" s="445" t="str">
        <f>IF(Table1[[#This Row],[h_Item Description]]="","",INDEX([1]!db[NB PAJAK],MATCH(Table1[[#This Row],[h_Item Description]],[1]!db[kode],0)))</f>
        <v/>
      </c>
      <c r="Q125" s="237"/>
      <c r="R125" s="238"/>
      <c r="S125" s="238"/>
      <c r="T125" s="448" t="str">
        <f>Table1[[#This Row],[h_hargasetelahdiskon]]</f>
        <v/>
      </c>
      <c r="V125" s="234"/>
      <c r="W125" s="234" t="str">
        <f ca="1">IF(Table1[[#This Row],[Column12]]="","",IF(Table1[[#This Row],[//]]="",INDIRECT(ADDRESS(ROW()-1,COLUMN())),Table1[[#This Row],[//]]))</f>
        <v/>
      </c>
      <c r="X125" s="234" t="str">
        <f ca="1">IF(Table1[[#This Row],[h_id]]="","",COUNTIF(Table1[h_id],Table1[[#This Row],[h_id]]))</f>
        <v/>
      </c>
      <c r="Y125" s="237" t="str">
        <f>IF(Table1[[#This Row],[Column12]]="","",Table1[[#This Row],[Qty]]*Table1[[#This Row],[Column13]])</f>
        <v/>
      </c>
      <c r="Z125" s="448" t="str">
        <f>IF(Table1[[#This Row],[h_hargasebelumdiskon]]="","",IF(Table1[[#This Row],[Column14]]="",0,Table1[[#This Row],[h_hargasebelumdiskon]]*Table1[[#This Row],[Column14]]))</f>
        <v/>
      </c>
      <c r="AA125" s="448" t="str">
        <f>IF(Table1[[#This Row],[h_hargasebelumdiskon]]="","",IF(Table1[[#This Row],[Column15]]="",0,(Table1[[#This Row],[h_hargasebelumdiskon]]-Table1[[#This Row],[h_disc 1]])*Table1[[#This Row],[Column15]]))</f>
        <v/>
      </c>
      <c r="AB125" s="237" t="str">
        <f>IF(Table1[[#This Row],[Column12]]="","",Table1[[#This Row],[h_disc 1]]+Table1[[#This Row],[h_disc 2]])</f>
        <v/>
      </c>
      <c r="AC125" s="237" t="str">
        <f>IF(Table1[[#This Row],[Column12]]="","",Table1[[#This Row],[h_hargasebelumdiskon]]-Table1[[#This Row],[h_diskon]])</f>
        <v/>
      </c>
      <c r="AD125" s="237" t="str">
        <f ca="1">IF(Table1[[#This Row],[//]]="","",SUMIF(Table1[h_id],Table1[[#This Row],[h_id]],Table1[h_hargasetelahdiskon]))</f>
        <v/>
      </c>
      <c r="AF125" s="237" t="str">
        <f>Table1[[#This Row],[Column12]]&amp;Table1[[#This Row],[Unit]]&amp;Table1[[#This Row],[Column13]]</f>
        <v/>
      </c>
      <c r="AG125"/>
      <c r="AH125"/>
      <c r="AI125"/>
    </row>
    <row r="126" spans="1:35">
      <c r="A126" s="234">
        <f ca="1">IF(Table1[[#This Row],[No. Invoice :]]="","",ROW())</f>
        <v>126</v>
      </c>
      <c r="B126" s="445">
        <f ca="1">IF(Table1[[#This Row],[Column3]]="","",B$1+COUNT(INDIRECT("B$2:B"&amp;ROW()-1)))</f>
        <v>24050020</v>
      </c>
      <c r="C126" s="235">
        <f>IF(Table1[[#This Row],[Column2]]="","",Table1[[#This Row],[Column2]]+C$1-1)</f>
        <v>45412</v>
      </c>
      <c r="D126" s="446">
        <v>0</v>
      </c>
      <c r="E126" s="447" t="s">
        <v>401</v>
      </c>
      <c r="F126" s="445">
        <v>0</v>
      </c>
      <c r="G126" s="234" t="str">
        <f ca="1">IF(Table1[[#This Row],[h_No. Invoice :]]="","",CONCATENATE("AM"," ",Table1[[#This Row],[h_No. Invoice :]]))</f>
        <v>AM 24050020</v>
      </c>
      <c r="H126" s="445">
        <f>IF(Table1[[#This Row],[Column5]]="","",INDEX(Table2[Column1],MATCH(Table1[[#This Row],[Column5]],Table2[a],0)))</f>
        <v>0</v>
      </c>
      <c r="I126" s="234" t="str">
        <f>IF(Table1[[#This Row],[Column3]]=0,"",CONCATENATE(UPPER(Table1[[#This Row],[Column3]])," ",Table1[[#This Row],[Column4]]))</f>
        <v/>
      </c>
      <c r="J126" s="234" t="str">
        <f>IF(Table1[[#This Row],[Column5]]="","",INDEX(Table2[e],IF(Table1[[#This Row],[Column5]]="","",MATCH(Table1[[#This Row],[Column5]],Table2[a],0)),))</f>
        <v>0 0 0</v>
      </c>
      <c r="K126" s="234"/>
      <c r="L126" s="234"/>
      <c r="N126" s="445"/>
      <c r="O126" s="445" t="str">
        <f>IF(Table1[[#This Row],[h_Item Description]]="","",INDEX([1]!db[NB PAJAK],MATCH(Table1[[#This Row],[h_Item Description]],[1]!db[kode],0)))</f>
        <v/>
      </c>
      <c r="Q126" s="237"/>
      <c r="R126" s="238"/>
      <c r="S126" s="238"/>
      <c r="T126" s="448" t="str">
        <f>Table1[[#This Row],[h_hargasetelahdiskon]]</f>
        <v/>
      </c>
      <c r="V126" s="234"/>
      <c r="W126" s="234" t="str">
        <f ca="1">IF(Table1[[#This Row],[Column12]]="","",IF(Table1[[#This Row],[//]]="",INDIRECT(ADDRESS(ROW()-1,COLUMN())),Table1[[#This Row],[//]]))</f>
        <v/>
      </c>
      <c r="X126" s="234" t="str">
        <f ca="1">IF(Table1[[#This Row],[h_id]]="","",COUNTIF(Table1[h_id],Table1[[#This Row],[h_id]]))</f>
        <v/>
      </c>
      <c r="Y126" s="237" t="str">
        <f>IF(Table1[[#This Row],[Column12]]="","",Table1[[#This Row],[Qty]]*Table1[[#This Row],[Column13]])</f>
        <v/>
      </c>
      <c r="Z126" s="448" t="str">
        <f>IF(Table1[[#This Row],[h_hargasebelumdiskon]]="","",IF(Table1[[#This Row],[Column14]]="",0,Table1[[#This Row],[h_hargasebelumdiskon]]*Table1[[#This Row],[Column14]]))</f>
        <v/>
      </c>
      <c r="AA126" s="448" t="str">
        <f>IF(Table1[[#This Row],[h_hargasebelumdiskon]]="","",IF(Table1[[#This Row],[Column15]]="",0,(Table1[[#This Row],[h_hargasebelumdiskon]]-Table1[[#This Row],[h_disc 1]])*Table1[[#This Row],[Column15]]))</f>
        <v/>
      </c>
      <c r="AB126" s="237" t="str">
        <f>IF(Table1[[#This Row],[Column12]]="","",Table1[[#This Row],[h_disc 1]]+Table1[[#This Row],[h_disc 2]])</f>
        <v/>
      </c>
      <c r="AC126" s="237" t="str">
        <f>IF(Table1[[#This Row],[Column12]]="","",Table1[[#This Row],[h_hargasebelumdiskon]]-Table1[[#This Row],[h_diskon]])</f>
        <v/>
      </c>
      <c r="AD126" s="237">
        <f ca="1">IF(Table1[[#This Row],[//]]="","",SUMIF(Table1[h_id],Table1[[#This Row],[h_id]],Table1[h_hargasetelahdiskon]))</f>
        <v>0</v>
      </c>
      <c r="AF126" s="237" t="str">
        <f>Table1[[#This Row],[Column12]]&amp;Table1[[#This Row],[Unit]]&amp;Table1[[#This Row],[Column13]]</f>
        <v/>
      </c>
      <c r="AG126"/>
      <c r="AH126"/>
      <c r="AI126"/>
    </row>
    <row r="127" spans="1:35">
      <c r="A127" s="234" t="str">
        <f ca="1">IF(Table1[[#This Row],[No. Invoice :]]="","",ROW())</f>
        <v/>
      </c>
      <c r="B127" s="445" t="str">
        <f ca="1">IF(Table1[[#This Row],[Column3]]="","",B$1+COUNT(INDIRECT("B$2:B"&amp;ROW()-1)))</f>
        <v/>
      </c>
      <c r="C127" s="235" t="str">
        <f>IF(Table1[[#This Row],[Column2]]="","",Table1[[#This Row],[Column2]]+C$1-1)</f>
        <v/>
      </c>
      <c r="D127" s="446"/>
      <c r="E127" s="447"/>
      <c r="F127" s="445"/>
      <c r="G127" s="234" t="str">
        <f ca="1">IF(Table1[[#This Row],[h_No. Invoice :]]="","",CONCATENATE("AM"," ",Table1[[#This Row],[h_No. Invoice :]]))</f>
        <v/>
      </c>
      <c r="H127" s="445" t="str">
        <f>IF(Table1[[#This Row],[Column5]]="","",INDEX(Table2[Column1],MATCH(Table1[[#This Row],[Column5]],Table2[a],0)))</f>
        <v/>
      </c>
      <c r="I127" s="234" t="str">
        <f>IF(Table1[[#This Row],[Column3]]=0,"",CONCATENATE(UPPER(Table1[[#This Row],[Column3]])," ",Table1[[#This Row],[Column4]]))</f>
        <v xml:space="preserve"> </v>
      </c>
      <c r="J127" s="234" t="str">
        <f>IF(Table1[[#This Row],[Column5]]="","",INDEX(Table2[e],IF(Table1[[#This Row],[Column5]]="","",MATCH(Table1[[#This Row],[Column5]],Table2[a],0)),))</f>
        <v/>
      </c>
      <c r="K127" s="234"/>
      <c r="L127" s="234"/>
      <c r="N127" s="445"/>
      <c r="O127" s="445" t="str">
        <f>IF(Table1[[#This Row],[h_Item Description]]="","",INDEX([1]!db[NB PAJAK],MATCH(Table1[[#This Row],[h_Item Description]],[1]!db[kode],0)))</f>
        <v/>
      </c>
      <c r="Q127" s="237"/>
      <c r="R127" s="238"/>
      <c r="S127" s="238"/>
      <c r="T127" s="448" t="str">
        <f>Table1[[#This Row],[h_hargasetelahdiskon]]</f>
        <v/>
      </c>
      <c r="V127" s="234"/>
      <c r="W127" s="234" t="str">
        <f ca="1">IF(Table1[[#This Row],[Column12]]="","",IF(Table1[[#This Row],[//]]="",INDIRECT(ADDRESS(ROW()-1,COLUMN())),Table1[[#This Row],[//]]))</f>
        <v/>
      </c>
      <c r="X127" s="234" t="str">
        <f ca="1">IF(Table1[[#This Row],[h_id]]="","",COUNTIF(Table1[h_id],Table1[[#This Row],[h_id]]))</f>
        <v/>
      </c>
      <c r="Y127" s="237" t="str">
        <f>IF(Table1[[#This Row],[Column12]]="","",Table1[[#This Row],[Qty]]*Table1[[#This Row],[Column13]])</f>
        <v/>
      </c>
      <c r="Z127" s="448" t="str">
        <f>IF(Table1[[#This Row],[h_hargasebelumdiskon]]="","",IF(Table1[[#This Row],[Column14]]="",0,Table1[[#This Row],[h_hargasebelumdiskon]]*Table1[[#This Row],[Column14]]))</f>
        <v/>
      </c>
      <c r="AA127" s="448" t="str">
        <f>IF(Table1[[#This Row],[h_hargasebelumdiskon]]="","",IF(Table1[[#This Row],[Column15]]="",0,(Table1[[#This Row],[h_hargasebelumdiskon]]-Table1[[#This Row],[h_disc 1]])*Table1[[#This Row],[Column15]]))</f>
        <v/>
      </c>
      <c r="AB127" s="237" t="str">
        <f>IF(Table1[[#This Row],[Column12]]="","",Table1[[#This Row],[h_disc 1]]+Table1[[#This Row],[h_disc 2]])</f>
        <v/>
      </c>
      <c r="AC127" s="237" t="str">
        <f>IF(Table1[[#This Row],[Column12]]="","",Table1[[#This Row],[h_hargasebelumdiskon]]-Table1[[#This Row],[h_diskon]])</f>
        <v/>
      </c>
      <c r="AD127" s="237" t="str">
        <f ca="1">IF(Table1[[#This Row],[//]]="","",SUMIF(Table1[h_id],Table1[[#This Row],[h_id]],Table1[h_hargasetelahdiskon]))</f>
        <v/>
      </c>
      <c r="AF127" s="237" t="str">
        <f>Table1[[#This Row],[Column12]]&amp;Table1[[#This Row],[Unit]]&amp;Table1[[#This Row],[Column13]]</f>
        <v/>
      </c>
      <c r="AG127"/>
      <c r="AH127"/>
      <c r="AI127"/>
    </row>
    <row r="128" spans="1:35">
      <c r="A128" s="234">
        <f ca="1">IF(Table1[[#This Row],[No. Invoice :]]="","",ROW())</f>
        <v>128</v>
      </c>
      <c r="B128" s="445">
        <f ca="1">IF(Table1[[#This Row],[Column3]]="","",B$1+COUNT(INDIRECT("B$2:B"&amp;ROW()-1)))</f>
        <v>24050021</v>
      </c>
      <c r="C128" s="235">
        <f>IF(Table1[[#This Row],[Column2]]="","",Table1[[#This Row],[Column2]]+C$1-1)</f>
        <v>45412</v>
      </c>
      <c r="D128" s="446">
        <v>0</v>
      </c>
      <c r="E128" s="447" t="s">
        <v>401</v>
      </c>
      <c r="F128" s="445">
        <v>0</v>
      </c>
      <c r="G128" s="234" t="str">
        <f ca="1">IF(Table1[[#This Row],[h_No. Invoice :]]="","",CONCATENATE("AM"," ",Table1[[#This Row],[h_No. Invoice :]]))</f>
        <v>AM 24050021</v>
      </c>
      <c r="H128" s="445">
        <f>IF(Table1[[#This Row],[Column5]]="","",INDEX(Table2[Column1],MATCH(Table1[[#This Row],[Column5]],Table2[a],0)))</f>
        <v>0</v>
      </c>
      <c r="I128" s="234" t="str">
        <f>IF(Table1[[#This Row],[Column3]]=0,"",CONCATENATE(UPPER(Table1[[#This Row],[Column3]])," ",Table1[[#This Row],[Column4]]))</f>
        <v/>
      </c>
      <c r="J128" s="234" t="str">
        <f>IF(Table1[[#This Row],[Column5]]="","",INDEX(Table2[e],IF(Table1[[#This Row],[Column5]]="","",MATCH(Table1[[#This Row],[Column5]],Table2[a],0)),))</f>
        <v>0 0 0</v>
      </c>
      <c r="K128" s="234"/>
      <c r="L128" s="234"/>
      <c r="N128" s="445"/>
      <c r="O128" s="445" t="str">
        <f>IF(Table1[[#This Row],[h_Item Description]]="","",INDEX([1]!db[NB PAJAK],MATCH(Table1[[#This Row],[h_Item Description]],[1]!db[kode],0)))</f>
        <v/>
      </c>
      <c r="Q128" s="237"/>
      <c r="R128" s="238"/>
      <c r="S128" s="238"/>
      <c r="T128" s="448" t="str">
        <f>Table1[[#This Row],[h_hargasetelahdiskon]]</f>
        <v/>
      </c>
      <c r="V128" s="234"/>
      <c r="W128" s="234" t="str">
        <f ca="1">IF(Table1[[#This Row],[Column12]]="","",IF(Table1[[#This Row],[//]]="",INDIRECT(ADDRESS(ROW()-1,COLUMN())),Table1[[#This Row],[//]]))</f>
        <v/>
      </c>
      <c r="X128" s="234" t="str">
        <f ca="1">IF(Table1[[#This Row],[h_id]]="","",COUNTIF(Table1[h_id],Table1[[#This Row],[h_id]]))</f>
        <v/>
      </c>
      <c r="Y128" s="237" t="str">
        <f>IF(Table1[[#This Row],[Column12]]="","",Table1[[#This Row],[Qty]]*Table1[[#This Row],[Column13]])</f>
        <v/>
      </c>
      <c r="Z128" s="448" t="str">
        <f>IF(Table1[[#This Row],[h_hargasebelumdiskon]]="","",IF(Table1[[#This Row],[Column14]]="",0,Table1[[#This Row],[h_hargasebelumdiskon]]*Table1[[#This Row],[Column14]]))</f>
        <v/>
      </c>
      <c r="AA128" s="448" t="str">
        <f>IF(Table1[[#This Row],[h_hargasebelumdiskon]]="","",IF(Table1[[#This Row],[Column15]]="",0,(Table1[[#This Row],[h_hargasebelumdiskon]]-Table1[[#This Row],[h_disc 1]])*Table1[[#This Row],[Column15]]))</f>
        <v/>
      </c>
      <c r="AB128" s="237" t="str">
        <f>IF(Table1[[#This Row],[Column12]]="","",Table1[[#This Row],[h_disc 1]]+Table1[[#This Row],[h_disc 2]])</f>
        <v/>
      </c>
      <c r="AC128" s="237" t="str">
        <f>IF(Table1[[#This Row],[Column12]]="","",Table1[[#This Row],[h_hargasebelumdiskon]]-Table1[[#This Row],[h_diskon]])</f>
        <v/>
      </c>
      <c r="AD128" s="237">
        <f ca="1">IF(Table1[[#This Row],[//]]="","",SUMIF(Table1[h_id],Table1[[#This Row],[h_id]],Table1[h_hargasetelahdiskon]))</f>
        <v>0</v>
      </c>
      <c r="AF128" s="237" t="str">
        <f>Table1[[#This Row],[Column12]]&amp;Table1[[#This Row],[Unit]]&amp;Table1[[#This Row],[Column13]]</f>
        <v/>
      </c>
      <c r="AG128"/>
      <c r="AH128"/>
      <c r="AI128"/>
    </row>
    <row r="129" spans="1:35">
      <c r="A129" s="234" t="str">
        <f ca="1">IF(Table1[[#This Row],[No. Invoice :]]="","",ROW())</f>
        <v/>
      </c>
      <c r="B129" s="445" t="str">
        <f ca="1">IF(Table1[[#This Row],[Column3]]="","",B$1+COUNT(INDIRECT("B$2:B"&amp;ROW()-1)))</f>
        <v/>
      </c>
      <c r="C129" s="235" t="str">
        <f>IF(Table1[[#This Row],[Column2]]="","",Table1[[#This Row],[Column2]]+C$1-1)</f>
        <v/>
      </c>
      <c r="D129" s="446"/>
      <c r="E129" s="447"/>
      <c r="F129" s="445"/>
      <c r="G129" s="234" t="str">
        <f ca="1">IF(Table1[[#This Row],[h_No. Invoice :]]="","",CONCATENATE("AM"," ",Table1[[#This Row],[h_No. Invoice :]]))</f>
        <v/>
      </c>
      <c r="H129" s="445" t="str">
        <f>IF(Table1[[#This Row],[Column5]]="","",INDEX(Table2[Column1],MATCH(Table1[[#This Row],[Column5]],Table2[a],0)))</f>
        <v/>
      </c>
      <c r="I129" s="234" t="str">
        <f>IF(Table1[[#This Row],[Column3]]=0,"",CONCATENATE(UPPER(Table1[[#This Row],[Column3]])," ",Table1[[#This Row],[Column4]]))</f>
        <v xml:space="preserve"> </v>
      </c>
      <c r="J129" s="234" t="str">
        <f>IF(Table1[[#This Row],[Column5]]="","",INDEX(Table2[e],IF(Table1[[#This Row],[Column5]]="","",MATCH(Table1[[#This Row],[Column5]],Table2[a],0)),))</f>
        <v/>
      </c>
      <c r="K129" s="234"/>
      <c r="L129" s="234"/>
      <c r="N129" s="445"/>
      <c r="O129" s="445" t="str">
        <f>IF(Table1[[#This Row],[h_Item Description]]="","",INDEX([1]!db[NB PAJAK],MATCH(Table1[[#This Row],[h_Item Description]],[1]!db[kode],0)))</f>
        <v/>
      </c>
      <c r="Q129" s="237"/>
      <c r="R129" s="238"/>
      <c r="S129" s="238"/>
      <c r="T129" s="448" t="str">
        <f>Table1[[#This Row],[h_hargasetelahdiskon]]</f>
        <v/>
      </c>
      <c r="V129" s="234"/>
      <c r="W129" s="234" t="str">
        <f ca="1">IF(Table1[[#This Row],[Column12]]="","",IF(Table1[[#This Row],[//]]="",INDIRECT(ADDRESS(ROW()-1,COLUMN())),Table1[[#This Row],[//]]))</f>
        <v/>
      </c>
      <c r="X129" s="234" t="str">
        <f ca="1">IF(Table1[[#This Row],[h_id]]="","",COUNTIF(Table1[h_id],Table1[[#This Row],[h_id]]))</f>
        <v/>
      </c>
      <c r="Y129" s="237" t="str">
        <f>IF(Table1[[#This Row],[Column12]]="","",Table1[[#This Row],[Qty]]*Table1[[#This Row],[Column13]])</f>
        <v/>
      </c>
      <c r="Z129" s="448" t="str">
        <f>IF(Table1[[#This Row],[h_hargasebelumdiskon]]="","",IF(Table1[[#This Row],[Column14]]="",0,Table1[[#This Row],[h_hargasebelumdiskon]]*Table1[[#This Row],[Column14]]))</f>
        <v/>
      </c>
      <c r="AA129" s="448" t="str">
        <f>IF(Table1[[#This Row],[h_hargasebelumdiskon]]="","",IF(Table1[[#This Row],[Column15]]="",0,(Table1[[#This Row],[h_hargasebelumdiskon]]-Table1[[#This Row],[h_disc 1]])*Table1[[#This Row],[Column15]]))</f>
        <v/>
      </c>
      <c r="AB129" s="237" t="str">
        <f>IF(Table1[[#This Row],[Column12]]="","",Table1[[#This Row],[h_disc 1]]+Table1[[#This Row],[h_disc 2]])</f>
        <v/>
      </c>
      <c r="AC129" s="237" t="str">
        <f>IF(Table1[[#This Row],[Column12]]="","",Table1[[#This Row],[h_hargasebelumdiskon]]-Table1[[#This Row],[h_diskon]])</f>
        <v/>
      </c>
      <c r="AD129" s="237" t="str">
        <f ca="1">IF(Table1[[#This Row],[//]]="","",SUMIF(Table1[h_id],Table1[[#This Row],[h_id]],Table1[h_hargasetelahdiskon]))</f>
        <v/>
      </c>
      <c r="AF129" s="237" t="str">
        <f>Table1[[#This Row],[Column12]]&amp;Table1[[#This Row],[Unit]]&amp;Table1[[#This Row],[Column13]]</f>
        <v/>
      </c>
      <c r="AG129"/>
      <c r="AH129"/>
      <c r="AI129"/>
    </row>
    <row r="130" spans="1:35">
      <c r="A130" s="234">
        <f ca="1">IF(Table1[[#This Row],[No. Invoice :]]="","",ROW())</f>
        <v>130</v>
      </c>
      <c r="B130" s="445">
        <f ca="1">IF(Table1[[#This Row],[Column3]]="","",B$1+COUNT(INDIRECT("B$2:B"&amp;ROW()-1)))</f>
        <v>24050022</v>
      </c>
      <c r="C130" s="235">
        <f>IF(Table1[[#This Row],[Column2]]="","",Table1[[#This Row],[Column2]]+C$1-1)</f>
        <v>45412</v>
      </c>
      <c r="D130" s="446">
        <v>0</v>
      </c>
      <c r="E130" s="447" t="s">
        <v>401</v>
      </c>
      <c r="F130" s="445">
        <v>0</v>
      </c>
      <c r="G130" s="234" t="str">
        <f ca="1">IF(Table1[[#This Row],[h_No. Invoice :]]="","",CONCATENATE("AM"," ",Table1[[#This Row],[h_No. Invoice :]]))</f>
        <v>AM 24050022</v>
      </c>
      <c r="H130" s="445">
        <f>IF(Table1[[#This Row],[Column5]]="","",INDEX(Table2[Column1],MATCH(Table1[[#This Row],[Column5]],Table2[a],0)))</f>
        <v>0</v>
      </c>
      <c r="I130" s="234" t="str">
        <f>IF(Table1[[#This Row],[Column3]]=0,"",CONCATENATE(UPPER(Table1[[#This Row],[Column3]])," ",Table1[[#This Row],[Column4]]))</f>
        <v/>
      </c>
      <c r="J130" s="234" t="str">
        <f>IF(Table1[[#This Row],[Column5]]="","",INDEX(Table2[e],IF(Table1[[#This Row],[Column5]]="","",MATCH(Table1[[#This Row],[Column5]],Table2[a],0)),))</f>
        <v>0 0 0</v>
      </c>
      <c r="K130" s="234"/>
      <c r="L130" s="234"/>
      <c r="N130" s="445"/>
      <c r="O130" s="445" t="str">
        <f>IF(Table1[[#This Row],[h_Item Description]]="","",INDEX([1]!db[NB PAJAK],MATCH(Table1[[#This Row],[h_Item Description]],[1]!db[kode],0)))</f>
        <v/>
      </c>
      <c r="Q130" s="237"/>
      <c r="R130" s="238"/>
      <c r="S130" s="238"/>
      <c r="T130" s="448" t="str">
        <f>Table1[[#This Row],[h_hargasetelahdiskon]]</f>
        <v/>
      </c>
      <c r="V130" s="234"/>
      <c r="W130" s="234" t="str">
        <f ca="1">IF(Table1[[#This Row],[Column12]]="","",IF(Table1[[#This Row],[//]]="",INDIRECT(ADDRESS(ROW()-1,COLUMN())),Table1[[#This Row],[//]]))</f>
        <v/>
      </c>
      <c r="X130" s="234" t="str">
        <f ca="1">IF(Table1[[#This Row],[h_id]]="","",COUNTIF(Table1[h_id],Table1[[#This Row],[h_id]]))</f>
        <v/>
      </c>
      <c r="Y130" s="237" t="str">
        <f>IF(Table1[[#This Row],[Column12]]="","",Table1[[#This Row],[Qty]]*Table1[[#This Row],[Column13]])</f>
        <v/>
      </c>
      <c r="Z130" s="448" t="str">
        <f>IF(Table1[[#This Row],[h_hargasebelumdiskon]]="","",IF(Table1[[#This Row],[Column14]]="",0,Table1[[#This Row],[h_hargasebelumdiskon]]*Table1[[#This Row],[Column14]]))</f>
        <v/>
      </c>
      <c r="AA130" s="448" t="str">
        <f>IF(Table1[[#This Row],[h_hargasebelumdiskon]]="","",IF(Table1[[#This Row],[Column15]]="",0,(Table1[[#This Row],[h_hargasebelumdiskon]]-Table1[[#This Row],[h_disc 1]])*Table1[[#This Row],[Column15]]))</f>
        <v/>
      </c>
      <c r="AB130" s="237" t="str">
        <f>IF(Table1[[#This Row],[Column12]]="","",Table1[[#This Row],[h_disc 1]]+Table1[[#This Row],[h_disc 2]])</f>
        <v/>
      </c>
      <c r="AC130" s="237" t="str">
        <f>IF(Table1[[#This Row],[Column12]]="","",Table1[[#This Row],[h_hargasebelumdiskon]]-Table1[[#This Row],[h_diskon]])</f>
        <v/>
      </c>
      <c r="AD130" s="237">
        <f ca="1">IF(Table1[[#This Row],[//]]="","",SUMIF(Table1[h_id],Table1[[#This Row],[h_id]],Table1[h_hargasetelahdiskon]))</f>
        <v>0</v>
      </c>
      <c r="AF130" s="237" t="str">
        <f>Table1[[#This Row],[Column12]]&amp;Table1[[#This Row],[Unit]]&amp;Table1[[#This Row],[Column13]]</f>
        <v/>
      </c>
      <c r="AG130"/>
      <c r="AH130"/>
      <c r="AI130"/>
    </row>
    <row r="131" spans="1:35">
      <c r="A131" s="234" t="str">
        <f ca="1">IF(Table1[[#This Row],[No. Invoice :]]="","",ROW())</f>
        <v/>
      </c>
      <c r="B131" s="445" t="str">
        <f ca="1">IF(Table1[[#This Row],[Column3]]="","",B$1+COUNT(INDIRECT("B$2:B"&amp;ROW()-1)))</f>
        <v/>
      </c>
      <c r="C131" s="235" t="str">
        <f>IF(Table1[[#This Row],[Column2]]="","",Table1[[#This Row],[Column2]]+C$1-1)</f>
        <v/>
      </c>
      <c r="D131" s="446"/>
      <c r="E131" s="447"/>
      <c r="F131" s="445"/>
      <c r="G131" s="234" t="str">
        <f ca="1">IF(Table1[[#This Row],[h_No. Invoice :]]="","",CONCATENATE("AM"," ",Table1[[#This Row],[h_No. Invoice :]]))</f>
        <v/>
      </c>
      <c r="H131" s="445" t="str">
        <f>IF(Table1[[#This Row],[Column5]]="","",INDEX(Table2[Column1],MATCH(Table1[[#This Row],[Column5]],Table2[a],0)))</f>
        <v/>
      </c>
      <c r="I131" s="234" t="str">
        <f>IF(Table1[[#This Row],[Column3]]=0,"",CONCATENATE(UPPER(Table1[[#This Row],[Column3]])," ",Table1[[#This Row],[Column4]]))</f>
        <v xml:space="preserve"> </v>
      </c>
      <c r="J131" s="234" t="str">
        <f>IF(Table1[[#This Row],[Column5]]="","",INDEX(Table2[e],IF(Table1[[#This Row],[Column5]]="","",MATCH(Table1[[#This Row],[Column5]],Table2[a],0)),))</f>
        <v/>
      </c>
      <c r="K131" s="234"/>
      <c r="L131" s="234"/>
      <c r="N131" s="445"/>
      <c r="O131" s="445" t="str">
        <f>IF(Table1[[#This Row],[h_Item Description]]="","",INDEX([1]!db[NB PAJAK],MATCH(Table1[[#This Row],[h_Item Description]],[1]!db[kode],0)))</f>
        <v/>
      </c>
      <c r="Q131" s="237"/>
      <c r="R131" s="238"/>
      <c r="S131" s="238"/>
      <c r="T131" s="448" t="str">
        <f>Table1[[#This Row],[h_hargasetelahdiskon]]</f>
        <v/>
      </c>
      <c r="V131" s="234"/>
      <c r="W131" s="234" t="str">
        <f ca="1">IF(Table1[[#This Row],[Column12]]="","",IF(Table1[[#This Row],[//]]="",INDIRECT(ADDRESS(ROW()-1,COLUMN())),Table1[[#This Row],[//]]))</f>
        <v/>
      </c>
      <c r="X131" s="234" t="str">
        <f ca="1">IF(Table1[[#This Row],[h_id]]="","",COUNTIF(Table1[h_id],Table1[[#This Row],[h_id]]))</f>
        <v/>
      </c>
      <c r="Y131" s="237" t="str">
        <f>IF(Table1[[#This Row],[Column12]]="","",Table1[[#This Row],[Qty]]*Table1[[#This Row],[Column13]])</f>
        <v/>
      </c>
      <c r="Z131" s="448" t="str">
        <f>IF(Table1[[#This Row],[h_hargasebelumdiskon]]="","",IF(Table1[[#This Row],[Column14]]="",0,Table1[[#This Row],[h_hargasebelumdiskon]]*Table1[[#This Row],[Column14]]))</f>
        <v/>
      </c>
      <c r="AA131" s="448" t="str">
        <f>IF(Table1[[#This Row],[h_hargasebelumdiskon]]="","",IF(Table1[[#This Row],[Column15]]="",0,(Table1[[#This Row],[h_hargasebelumdiskon]]-Table1[[#This Row],[h_disc 1]])*Table1[[#This Row],[Column15]]))</f>
        <v/>
      </c>
      <c r="AB131" s="237" t="str">
        <f>IF(Table1[[#This Row],[Column12]]="","",Table1[[#This Row],[h_disc 1]]+Table1[[#This Row],[h_disc 2]])</f>
        <v/>
      </c>
      <c r="AC131" s="237" t="str">
        <f>IF(Table1[[#This Row],[Column12]]="","",Table1[[#This Row],[h_hargasebelumdiskon]]-Table1[[#This Row],[h_diskon]])</f>
        <v/>
      </c>
      <c r="AD131" s="237" t="str">
        <f ca="1">IF(Table1[[#This Row],[//]]="","",SUMIF(Table1[h_id],Table1[[#This Row],[h_id]],Table1[h_hargasetelahdiskon]))</f>
        <v/>
      </c>
      <c r="AF131" s="237" t="str">
        <f>Table1[[#This Row],[Column12]]&amp;Table1[[#This Row],[Unit]]&amp;Table1[[#This Row],[Column13]]</f>
        <v/>
      </c>
      <c r="AG131"/>
      <c r="AH131"/>
      <c r="AI131"/>
    </row>
    <row r="132" spans="1:35">
      <c r="A132" s="234" t="str">
        <f ca="1">IF(Table1[[#This Row],[No. Invoice :]]="","",ROW())</f>
        <v/>
      </c>
      <c r="B132" s="428" t="str">
        <f ca="1">IF(Table1[[#This Row],[Column3]]="","",B$1+COUNT(INDIRECT("B$2:B"&amp;ROW()-1)))</f>
        <v/>
      </c>
      <c r="C132" s="235" t="str">
        <f>IF(Table1[[#This Row],[Column2]]="","",Table1[[#This Row],[Column2]]+C$1-1)</f>
        <v/>
      </c>
      <c r="D132" s="429"/>
      <c r="E132" s="236"/>
      <c r="F132" s="234"/>
      <c r="G132" s="234" t="str">
        <f ca="1">IF(Table1[[#This Row],[h_No. Invoice :]]="","",CONCATENATE("AM"," ",Table1[[#This Row],[h_No. Invoice :]]))</f>
        <v/>
      </c>
      <c r="H132" s="428" t="str">
        <f>IF(Table1[[#This Row],[Column5]]="","",INDEX(Table2[Column1],MATCH(Table1[[#This Row],[Column5]],Table2[a],0)))</f>
        <v/>
      </c>
      <c r="I132" s="234" t="str">
        <f>IF(Table1[[#This Row],[Column3]]=0,"",CONCATENATE(UPPER(Table1[[#This Row],[Column3]])," ",Table1[[#This Row],[Column4]]))</f>
        <v xml:space="preserve"> </v>
      </c>
      <c r="J132" s="234" t="str">
        <f>IF(Table1[[#This Row],[Column5]]="","",INDEX(Table2[e],IF(Table1[[#This Row],[Column5]]="","",MATCH(Table1[[#This Row],[Column5]],Table2[a],0)),))</f>
        <v/>
      </c>
      <c r="K132" s="234"/>
      <c r="L132" s="234"/>
      <c r="N132" s="428"/>
      <c r="O132" s="428" t="str">
        <f>IF(Table1[[#This Row],[h_Item Description]]="","",INDEX([1]!db[NB PAJAK],MATCH(Table1[[#This Row],[h_Item Description]],[1]!db[kode],0)))</f>
        <v/>
      </c>
      <c r="Q132" s="237"/>
      <c r="R132" s="238"/>
      <c r="S132" s="238"/>
      <c r="T132" s="431" t="str">
        <f>Table1[[#This Row],[h_hargasetelahdiskon]]</f>
        <v/>
      </c>
      <c r="V132" s="234"/>
      <c r="W132" s="234" t="str">
        <f ca="1">IF(Table1[[#This Row],[Column12]]="","",IF(Table1[[#This Row],[//]]="",INDIRECT(ADDRESS(ROW()-1,COLUMN())),Table1[[#This Row],[//]]))</f>
        <v/>
      </c>
      <c r="X132" s="234" t="str">
        <f ca="1">IF(Table1[[#This Row],[h_id]]="","",COUNTIF(Table1[h_id],Table1[[#This Row],[h_id]]))</f>
        <v/>
      </c>
      <c r="Y132" s="237" t="str">
        <f>IF(Table1[[#This Row],[Column12]]="","",Table1[[#This Row],[Qty]]*Table1[[#This Row],[Column13]])</f>
        <v/>
      </c>
      <c r="Z132" s="431" t="str">
        <f>IF(Table1[[#This Row],[h_hargasebelumdiskon]]="","",IF(Table1[[#This Row],[Column14]]="",0,Table1[[#This Row],[h_hargasebelumdiskon]]*Table1[[#This Row],[Column14]]))</f>
        <v/>
      </c>
      <c r="AA132" s="431" t="str">
        <f>IF(Table1[[#This Row],[h_hargasebelumdiskon]]="","",IF(Table1[[#This Row],[Column15]]="",0,(Table1[[#This Row],[h_hargasebelumdiskon]]-Table1[[#This Row],[h_disc 1]])*Table1[[#This Row],[Column15]]))</f>
        <v/>
      </c>
      <c r="AB132" s="237" t="str">
        <f>IF(Table1[[#This Row],[Column12]]="","",Table1[[#This Row],[h_disc 1]]+Table1[[#This Row],[h_disc 2]])</f>
        <v/>
      </c>
      <c r="AC132" s="237" t="str">
        <f>IF(Table1[[#This Row],[Column12]]="","",Table1[[#This Row],[h_hargasebelumdiskon]]-Table1[[#This Row],[h_diskon]])</f>
        <v/>
      </c>
      <c r="AD132" s="237" t="str">
        <f ca="1">IF(Table1[[#This Row],[//]]="","",SUMIF(Table1[h_id],Table1[[#This Row],[h_id]],Table1[h_hargasetelahdiskon]))</f>
        <v/>
      </c>
      <c r="AF132" s="237" t="str">
        <f>Table1[[#This Row],[Column12]]&amp;Table1[[#This Row],[Unit]]&amp;Table1[[#This Row],[Column13]]</f>
        <v/>
      </c>
      <c r="AG132"/>
      <c r="AH132"/>
      <c r="AI132"/>
    </row>
    <row r="133" spans="1:35">
      <c r="A133" s="234">
        <f ca="1">IF(Table1[[#This Row],[No. Invoice :]]="","",ROW())</f>
        <v>133</v>
      </c>
      <c r="B133" s="428">
        <f ca="1">IF(Table1[[#This Row],[Column3]]="","",B$1+COUNT(INDIRECT("B$2:B"&amp;ROW()-1)))</f>
        <v>24050023</v>
      </c>
      <c r="C133" s="235">
        <f>IF(Table1[[#This Row],[Column2]]="","",Table1[[#This Row],[Column2]]+C$1-1)</f>
        <v>45430</v>
      </c>
      <c r="D133" s="429">
        <v>18</v>
      </c>
      <c r="E133" s="236" t="s">
        <v>394</v>
      </c>
      <c r="F133" s="234" t="s">
        <v>83</v>
      </c>
      <c r="G133" s="234" t="str">
        <f ca="1">IF(Table1[[#This Row],[h_No. Invoice :]]="","",CONCATENATE("AM"," ",Table1[[#This Row],[h_No. Invoice :]]))</f>
        <v>AM 24050023</v>
      </c>
      <c r="H133" s="428" t="str">
        <f>IF(Table1[[#This Row],[Column5]]="","",INDEX(Table2[Column1],MATCH(Table1[[#This Row],[Column5]],Table2[a],0)))</f>
        <v>KO</v>
      </c>
      <c r="I133" s="234" t="str">
        <f>IF(Table1[[#This Row],[Column3]]=0,"",CONCATENATE(UPPER(Table1[[#This Row],[Column3]])," ",Table1[[#This Row],[Column4]]))</f>
        <v>KO 4949</v>
      </c>
      <c r="J133" s="234" t="str">
        <f>IF(Table1[[#This Row],[Column5]]="","",INDEX(Table2[e],IF(Table1[[#This Row],[Column5]]="","",MATCH(Table1[[#This Row],[Column5]],Table2[a],0)),))</f>
        <v>SANTOSO BUDIONO (  ARMADA  ) PURWOKERTO</v>
      </c>
      <c r="K133" s="234">
        <v>10</v>
      </c>
      <c r="L133" s="234" t="s">
        <v>186</v>
      </c>
      <c r="N133" s="234" t="s">
        <v>250</v>
      </c>
      <c r="O133" s="428" t="str">
        <f>IF(Table1[[#This Row],[h_Item Description]]="","",INDEX([1]!db[NB PAJAK],MATCH(Table1[[#This Row],[h_Item Description]],[1]!db[kode],0)))</f>
        <v>CUTTER 18 MM KENKO L-500 (BESAR)</v>
      </c>
      <c r="P133" s="234" t="s">
        <v>252</v>
      </c>
      <c r="Q133" s="237">
        <v>147600</v>
      </c>
      <c r="R133" s="238">
        <v>0.125</v>
      </c>
      <c r="S133" s="238"/>
      <c r="T133" s="431">
        <f>Table1[[#This Row],[h_hargasetelahdiskon]]</f>
        <v>1291500</v>
      </c>
      <c r="U133" s="237" t="s">
        <v>129</v>
      </c>
      <c r="V133" s="234"/>
      <c r="W133" s="234">
        <f ca="1">IF(Table1[[#This Row],[Column12]]="","",IF(Table1[[#This Row],[//]]="",INDIRECT(ADDRESS(ROW()-1,COLUMN())),Table1[[#This Row],[//]]))</f>
        <v>133</v>
      </c>
      <c r="X133" s="234">
        <f ca="1">IF(Table1[[#This Row],[h_id]]="","",COUNTIF(Table1[h_id],Table1[[#This Row],[h_id]]))</f>
        <v>5</v>
      </c>
      <c r="Y133" s="237">
        <f>IF(Table1[[#This Row],[Column12]]="","",Table1[[#This Row],[Qty]]*Table1[[#This Row],[Column13]])</f>
        <v>1476000</v>
      </c>
      <c r="Z133" s="431">
        <f>IF(Table1[[#This Row],[h_hargasebelumdiskon]]="","",IF(Table1[[#This Row],[Column14]]="",0,Table1[[#This Row],[h_hargasebelumdiskon]]*Table1[[#This Row],[Column14]]))</f>
        <v>184500</v>
      </c>
      <c r="AA133" s="431">
        <f>IF(Table1[[#This Row],[h_hargasebelumdiskon]]="","",IF(Table1[[#This Row],[Column15]]="",0,(Table1[[#This Row],[h_hargasebelumdiskon]]-Table1[[#This Row],[h_disc 1]])*Table1[[#This Row],[Column15]]))</f>
        <v>0</v>
      </c>
      <c r="AB133" s="237">
        <f>IF(Table1[[#This Row],[Column12]]="","",Table1[[#This Row],[h_disc 1]]+Table1[[#This Row],[h_disc 2]])</f>
        <v>184500</v>
      </c>
      <c r="AC133" s="237">
        <f>IF(Table1[[#This Row],[Column12]]="","",Table1[[#This Row],[h_hargasebelumdiskon]]-Table1[[#This Row],[h_diskon]])</f>
        <v>1291500</v>
      </c>
      <c r="AD133" s="237">
        <f ca="1">IF(Table1[[#This Row],[//]]="","",SUMIF(Table1[h_id],Table1[[#This Row],[h_id]],Table1[h_hargasetelahdiskon]))</f>
        <v>3956750</v>
      </c>
      <c r="AF133" s="237" t="str">
        <f>Table1[[#This Row],[Column12]]&amp;Table1[[#This Row],[Unit]]&amp;Table1[[#This Row],[Column13]]</f>
        <v>CUTTER 18 MM KENKO L-500 (BESAR)LSN147600</v>
      </c>
      <c r="AG133"/>
      <c r="AH133"/>
      <c r="AI133"/>
    </row>
    <row r="134" spans="1:35">
      <c r="A134" s="234" t="str">
        <f ca="1">IF(Table1[[#This Row],[No. Invoice :]]="","",ROW())</f>
        <v/>
      </c>
      <c r="B134" s="428" t="str">
        <f ca="1">IF(Table1[[#This Row],[Column3]]="","",B$1+COUNT(INDIRECT("B$2:B"&amp;ROW()-1)))</f>
        <v/>
      </c>
      <c r="C134" s="235" t="str">
        <f>IF(Table1[[#This Row],[Column2]]="","",Table1[[#This Row],[Column2]]+C$1-1)</f>
        <v/>
      </c>
      <c r="D134" s="429"/>
      <c r="E134" s="236"/>
      <c r="F134" s="234"/>
      <c r="G134" s="234" t="str">
        <f ca="1">IF(Table1[[#This Row],[h_No. Invoice :]]="","",CONCATENATE("AM"," ",Table1[[#This Row],[h_No. Invoice :]]))</f>
        <v/>
      </c>
      <c r="H134" s="428" t="str">
        <f>IF(Table1[[#This Row],[Column5]]="","",INDEX(Table2[Column1],MATCH(Table1[[#This Row],[Column5]],Table2[a],0)))</f>
        <v/>
      </c>
      <c r="I134" s="234" t="str">
        <f>IF(Table1[[#This Row],[Column3]]=0,"",CONCATENATE(UPPER(Table1[[#This Row],[Column3]])," ",Table1[[#This Row],[Column4]]))</f>
        <v xml:space="preserve"> </v>
      </c>
      <c r="J134" s="234" t="str">
        <f>IF(Table1[[#This Row],[Column5]]="","",INDEX(Table2[e],IF(Table1[[#This Row],[Column5]]="","",MATCH(Table1[[#This Row],[Column5]],Table2[a],0)),))</f>
        <v/>
      </c>
      <c r="K134" s="234">
        <v>50</v>
      </c>
      <c r="L134" s="234" t="s">
        <v>197</v>
      </c>
      <c r="N134" s="234" t="s">
        <v>395</v>
      </c>
      <c r="O134" s="428" t="str">
        <f>IF(Table1[[#This Row],[h_Item Description]]="","",INDEX([1]!db[NB PAJAK],MATCH(Table1[[#This Row],[h_Item Description]],[1]!db[kode],0)))</f>
        <v>TAPE CUTTER 2" JOYKO TD-2S BESI</v>
      </c>
      <c r="P134" s="234" t="s">
        <v>398</v>
      </c>
      <c r="Q134" s="237">
        <v>17000</v>
      </c>
      <c r="R134" s="238">
        <v>0.125</v>
      </c>
      <c r="S134" s="238"/>
      <c r="T134" s="431">
        <f>Table1[[#This Row],[h_hargasetelahdiskon]]</f>
        <v>743750</v>
      </c>
      <c r="V134" s="234"/>
      <c r="W134" s="234">
        <f ca="1">IF(Table1[[#This Row],[Column12]]="","",IF(Table1[[#This Row],[//]]="",INDIRECT(ADDRESS(ROW()-1,COLUMN())),Table1[[#This Row],[//]]))</f>
        <v>133</v>
      </c>
      <c r="X134" s="234">
        <f ca="1">IF(Table1[[#This Row],[h_id]]="","",COUNTIF(Table1[h_id],Table1[[#This Row],[h_id]]))</f>
        <v>5</v>
      </c>
      <c r="Y134" s="237">
        <f>IF(Table1[[#This Row],[Column12]]="","",Table1[[#This Row],[Qty]]*Table1[[#This Row],[Column13]])</f>
        <v>850000</v>
      </c>
      <c r="Z134" s="431">
        <f>IF(Table1[[#This Row],[h_hargasebelumdiskon]]="","",IF(Table1[[#This Row],[Column14]]="",0,Table1[[#This Row],[h_hargasebelumdiskon]]*Table1[[#This Row],[Column14]]))</f>
        <v>106250</v>
      </c>
      <c r="AA134" s="431">
        <f>IF(Table1[[#This Row],[h_hargasebelumdiskon]]="","",IF(Table1[[#This Row],[Column15]]="",0,(Table1[[#This Row],[h_hargasebelumdiskon]]-Table1[[#This Row],[h_disc 1]])*Table1[[#This Row],[Column15]]))</f>
        <v>0</v>
      </c>
      <c r="AB134" s="237">
        <f>IF(Table1[[#This Row],[Column12]]="","",Table1[[#This Row],[h_disc 1]]+Table1[[#This Row],[h_disc 2]])</f>
        <v>106250</v>
      </c>
      <c r="AC134" s="237">
        <f>IF(Table1[[#This Row],[Column12]]="","",Table1[[#This Row],[h_hargasebelumdiskon]]-Table1[[#This Row],[h_diskon]])</f>
        <v>743750</v>
      </c>
      <c r="AD134" s="237" t="str">
        <f ca="1">IF(Table1[[#This Row],[//]]="","",SUMIF(Table1[h_id],Table1[[#This Row],[h_id]],Table1[h_hargasetelahdiskon]))</f>
        <v/>
      </c>
      <c r="AF134" s="237" t="str">
        <f>Table1[[#This Row],[Column12]]&amp;Table1[[#This Row],[Unit]]&amp;Table1[[#This Row],[Column13]]</f>
        <v>TAPE CUTTER 2" JOYKO TD-2S BESIPCS17000</v>
      </c>
      <c r="AG134"/>
      <c r="AH134"/>
      <c r="AI134"/>
    </row>
    <row r="135" spans="1:35">
      <c r="A135" s="234" t="str">
        <f ca="1">IF(Table1[[#This Row],[No. Invoice :]]="","",ROW())</f>
        <v/>
      </c>
      <c r="B135" s="234" t="str">
        <f ca="1">IF(Table1[[#This Row],[Column3]]="","",B$1+COUNT(INDIRECT("B$2:B"&amp;ROW()-1)))</f>
        <v/>
      </c>
      <c r="C135" s="235" t="str">
        <f>IF(Table1[[#This Row],[Column2]]="","",Table1[[#This Row],[Column2]]+C$1-1)</f>
        <v/>
      </c>
      <c r="E135" s="236"/>
      <c r="F135" s="234"/>
      <c r="G135" s="234" t="str">
        <f ca="1">IF(Table1[[#This Row],[h_No. Invoice :]]="","",CONCATENATE("AM"," ",Table1[[#This Row],[h_No. Invoice :]]))</f>
        <v/>
      </c>
      <c r="H135" s="234" t="str">
        <f>IF(Table1[[#This Row],[Column5]]="","",INDEX(Table2[Column1],MATCH(Table1[[#This Row],[Column5]],Table2[a],0)))</f>
        <v/>
      </c>
      <c r="I135" s="234" t="str">
        <f>IF(Table1[[#This Row],[Column3]]=0,"",CONCATENATE(UPPER(Table1[[#This Row],[Column3]])," ",Table1[[#This Row],[Column4]]))</f>
        <v xml:space="preserve"> </v>
      </c>
      <c r="J135" s="234" t="str">
        <f>IF(Table1[[#This Row],[Column5]]="","",INDEX(Table2[e],IF(Table1[[#This Row],[Column5]]="","",MATCH(Table1[[#This Row],[Column5]],Table2[a],0)),))</f>
        <v/>
      </c>
      <c r="K135" s="234">
        <v>20</v>
      </c>
      <c r="L135" s="234" t="s">
        <v>195</v>
      </c>
      <c r="N135" s="234" t="s">
        <v>382</v>
      </c>
      <c r="O135" s="234" t="str">
        <f>IF(Table1[[#This Row],[h_Item Description]]="","",INDEX([1]!db[NB PAJAK],MATCH(Table1[[#This Row],[h_Item Description]],[1]!db[kode],0)))</f>
        <v>BINDER CLIP KENKO NO. 105</v>
      </c>
      <c r="P135" s="234" t="s">
        <v>383</v>
      </c>
      <c r="Q135" s="237">
        <v>28800</v>
      </c>
      <c r="R135" s="238">
        <v>0.125</v>
      </c>
      <c r="S135" s="238"/>
      <c r="T135" s="237">
        <f>Table1[[#This Row],[h_hargasetelahdiskon]]</f>
        <v>504000</v>
      </c>
      <c r="V135" s="234"/>
      <c r="W135" s="234">
        <f ca="1">IF(Table1[[#This Row],[Column12]]="","",IF(Table1[[#This Row],[//]]="",INDIRECT(ADDRESS(ROW()-1,COLUMN())),Table1[[#This Row],[//]]))</f>
        <v>133</v>
      </c>
      <c r="X135" s="234">
        <f ca="1">IF(Table1[[#This Row],[h_id]]="","",COUNTIF(Table1[h_id],Table1[[#This Row],[h_id]]))</f>
        <v>5</v>
      </c>
      <c r="Y135" s="237">
        <f>IF(Table1[[#This Row],[Column12]]="","",Table1[[#This Row],[Qty]]*Table1[[#This Row],[Column13]])</f>
        <v>576000</v>
      </c>
      <c r="Z135" s="237">
        <f>IF(Table1[[#This Row],[h_hargasebelumdiskon]]="","",IF(Table1[[#This Row],[Column14]]="",0,Table1[[#This Row],[h_hargasebelumdiskon]]*Table1[[#This Row],[Column14]]))</f>
        <v>72000</v>
      </c>
      <c r="AA135" s="237">
        <f>IF(Table1[[#This Row],[h_hargasebelumdiskon]]="","",IF(Table1[[#This Row],[Column15]]="",0,(Table1[[#This Row],[h_hargasebelumdiskon]]-Table1[[#This Row],[h_disc 1]])*Table1[[#This Row],[Column15]]))</f>
        <v>0</v>
      </c>
      <c r="AB135" s="237">
        <f>IF(Table1[[#This Row],[Column12]]="","",Table1[[#This Row],[h_disc 1]]+Table1[[#This Row],[h_disc 2]])</f>
        <v>72000</v>
      </c>
      <c r="AC135" s="237">
        <f>IF(Table1[[#This Row],[Column12]]="","",Table1[[#This Row],[h_hargasebelumdiskon]]-Table1[[#This Row],[h_diskon]])</f>
        <v>504000</v>
      </c>
      <c r="AD135" s="237" t="str">
        <f ca="1">IF(Table1[[#This Row],[//]]="","",SUMIF(Table1[h_id],Table1[[#This Row],[h_id]],Table1[h_hargasetelahdiskon]))</f>
        <v/>
      </c>
      <c r="AF135" s="237" t="str">
        <f>Table1[[#This Row],[Column12]]&amp;Table1[[#This Row],[Unit]]&amp;Table1[[#This Row],[Column13]]</f>
        <v>BINDER CLIP KENKO NO. 105GRS28800</v>
      </c>
      <c r="AG135"/>
      <c r="AH135"/>
      <c r="AI135"/>
    </row>
    <row r="136" spans="1:35">
      <c r="A136" s="234" t="str">
        <f ca="1">IF(Table1[[#This Row],[No. Invoice :]]="","",ROW())</f>
        <v/>
      </c>
      <c r="B136" s="234" t="str">
        <f ca="1">IF(Table1[[#This Row],[Column3]]="","",B$1+COUNT(INDIRECT("B$2:B"&amp;ROW()-1)))</f>
        <v/>
      </c>
      <c r="C136" s="235" t="str">
        <f>IF(Table1[[#This Row],[Column2]]="","",Table1[[#This Row],[Column2]]+C$1-1)</f>
        <v/>
      </c>
      <c r="E136" s="236"/>
      <c r="F136" s="234"/>
      <c r="G136" s="234" t="str">
        <f ca="1">IF(Table1[[#This Row],[h_No. Invoice :]]="","",CONCATENATE("AM"," ",Table1[[#This Row],[h_No. Invoice :]]))</f>
        <v/>
      </c>
      <c r="H136" s="234" t="str">
        <f>IF(Table1[[#This Row],[Column5]]="","",INDEX(Table2[Column1],MATCH(Table1[[#This Row],[Column5]],Table2[a],0)))</f>
        <v/>
      </c>
      <c r="I136" s="234" t="str">
        <f>IF(Table1[[#This Row],[Column3]]=0,"",CONCATENATE(UPPER(Table1[[#This Row],[Column3]])," ",Table1[[#This Row],[Column4]]))</f>
        <v xml:space="preserve"> </v>
      </c>
      <c r="J136" s="234" t="str">
        <f>IF(Table1[[#This Row],[Column5]]="","",INDEX(Table2[e],IF(Table1[[#This Row],[Column5]]="","",MATCH(Table1[[#This Row],[Column5]],Table2[a],0)),))</f>
        <v/>
      </c>
      <c r="K136" s="234">
        <v>20</v>
      </c>
      <c r="L136" s="234" t="s">
        <v>195</v>
      </c>
      <c r="N136" s="234" t="s">
        <v>396</v>
      </c>
      <c r="O136" s="234" t="str">
        <f>IF(Table1[[#This Row],[h_Item Description]]="","",INDEX([1]!db[NB PAJAK],MATCH(Table1[[#This Row],[h_Item Description]],[1]!db[kode],0)))</f>
        <v>BINDER CLIP KENKO NO. 107</v>
      </c>
      <c r="P136" s="234" t="s">
        <v>399</v>
      </c>
      <c r="Q136" s="237">
        <v>31800</v>
      </c>
      <c r="R136" s="238">
        <v>0.125</v>
      </c>
      <c r="S136" s="238"/>
      <c r="T136" s="237">
        <f>Table1[[#This Row],[h_hargasetelahdiskon]]</f>
        <v>556500</v>
      </c>
      <c r="V136" s="234"/>
      <c r="W136" s="234">
        <f ca="1">IF(Table1[[#This Row],[Column12]]="","",IF(Table1[[#This Row],[//]]="",INDIRECT(ADDRESS(ROW()-1,COLUMN())),Table1[[#This Row],[//]]))</f>
        <v>133</v>
      </c>
      <c r="X136" s="234">
        <f ca="1">IF(Table1[[#This Row],[h_id]]="","",COUNTIF(Table1[h_id],Table1[[#This Row],[h_id]]))</f>
        <v>5</v>
      </c>
      <c r="Y136" s="237">
        <f>IF(Table1[[#This Row],[Column12]]="","",Table1[[#This Row],[Qty]]*Table1[[#This Row],[Column13]])</f>
        <v>636000</v>
      </c>
      <c r="Z136" s="237">
        <f>IF(Table1[[#This Row],[h_hargasebelumdiskon]]="","",IF(Table1[[#This Row],[Column14]]="",0,Table1[[#This Row],[h_hargasebelumdiskon]]*Table1[[#This Row],[Column14]]))</f>
        <v>79500</v>
      </c>
      <c r="AA136" s="237">
        <f>IF(Table1[[#This Row],[h_hargasebelumdiskon]]="","",IF(Table1[[#This Row],[Column15]]="",0,(Table1[[#This Row],[h_hargasebelumdiskon]]-Table1[[#This Row],[h_disc 1]])*Table1[[#This Row],[Column15]]))</f>
        <v>0</v>
      </c>
      <c r="AB136" s="237">
        <f>IF(Table1[[#This Row],[Column12]]="","",Table1[[#This Row],[h_disc 1]]+Table1[[#This Row],[h_disc 2]])</f>
        <v>79500</v>
      </c>
      <c r="AC136" s="237">
        <f>IF(Table1[[#This Row],[Column12]]="","",Table1[[#This Row],[h_hargasebelumdiskon]]-Table1[[#This Row],[h_diskon]])</f>
        <v>556500</v>
      </c>
      <c r="AD136" s="237" t="str">
        <f ca="1">IF(Table1[[#This Row],[//]]="","",SUMIF(Table1[h_id],Table1[[#This Row],[h_id]],Table1[h_hargasetelahdiskon]))</f>
        <v/>
      </c>
      <c r="AF136" s="237" t="str">
        <f>Table1[[#This Row],[Column12]]&amp;Table1[[#This Row],[Unit]]&amp;Table1[[#This Row],[Column13]]</f>
        <v>BINDER CLIP KENKO NO. 107GRS31800</v>
      </c>
      <c r="AG136"/>
      <c r="AH136"/>
      <c r="AI136"/>
    </row>
    <row r="137" spans="1:35">
      <c r="A137" s="234" t="str">
        <f ca="1">IF(Table1[[#This Row],[No. Invoice :]]="","",ROW())</f>
        <v/>
      </c>
      <c r="B137" s="234" t="str">
        <f ca="1">IF(Table1[[#This Row],[Column3]]="","",B$1+COUNT(INDIRECT("B$2:B"&amp;ROW()-1)))</f>
        <v/>
      </c>
      <c r="C137" s="235" t="str">
        <f>IF(Table1[[#This Row],[Column2]]="","",Table1[[#This Row],[Column2]]+C$1-1)</f>
        <v/>
      </c>
      <c r="E137" s="236"/>
      <c r="F137" s="234"/>
      <c r="G137" s="234" t="str">
        <f ca="1">IF(Table1[[#This Row],[h_No. Invoice :]]="","",CONCATENATE("AM"," ",Table1[[#This Row],[h_No. Invoice :]]))</f>
        <v/>
      </c>
      <c r="H137" s="234" t="str">
        <f>IF(Table1[[#This Row],[Column5]]="","",INDEX(Table2[Column1],MATCH(Table1[[#This Row],[Column5]],Table2[a],0)))</f>
        <v/>
      </c>
      <c r="I137" s="234" t="str">
        <f>IF(Table1[[#This Row],[Column3]]=0,"",CONCATENATE(UPPER(Table1[[#This Row],[Column3]])," ",Table1[[#This Row],[Column4]]))</f>
        <v xml:space="preserve"> </v>
      </c>
      <c r="J137" s="234" t="str">
        <f>IF(Table1[[#This Row],[Column5]]="","",INDEX(Table2[e],IF(Table1[[#This Row],[Column5]]="","",MATCH(Table1[[#This Row],[Column5]],Table2[a],0)),))</f>
        <v/>
      </c>
      <c r="K137" s="234">
        <v>20</v>
      </c>
      <c r="L137" s="234" t="s">
        <v>195</v>
      </c>
      <c r="N137" s="234" t="s">
        <v>397</v>
      </c>
      <c r="O137" s="234" t="str">
        <f>IF(Table1[[#This Row],[h_Item Description]]="","",INDEX([1]!db[NB PAJAK],MATCH(Table1[[#This Row],[h_Item Description]],[1]!db[kode],0)))</f>
        <v>BINDER CLIP KENKO NO. 111</v>
      </c>
      <c r="P137" s="234" t="s">
        <v>400</v>
      </c>
      <c r="Q137" s="237">
        <v>49200</v>
      </c>
      <c r="R137" s="238">
        <v>0.125</v>
      </c>
      <c r="S137" s="238"/>
      <c r="T137" s="237">
        <f>Table1[[#This Row],[h_hargasetelahdiskon]]</f>
        <v>861000</v>
      </c>
      <c r="V137" s="234"/>
      <c r="W137" s="234">
        <f ca="1">IF(Table1[[#This Row],[Column12]]="","",IF(Table1[[#This Row],[//]]="",INDIRECT(ADDRESS(ROW()-1,COLUMN())),Table1[[#This Row],[//]]))</f>
        <v>133</v>
      </c>
      <c r="X137" s="234">
        <f ca="1">IF(Table1[[#This Row],[h_id]]="","",COUNTIF(Table1[h_id],Table1[[#This Row],[h_id]]))</f>
        <v>5</v>
      </c>
      <c r="Y137" s="237">
        <f>IF(Table1[[#This Row],[Column12]]="","",Table1[[#This Row],[Qty]]*Table1[[#This Row],[Column13]])</f>
        <v>984000</v>
      </c>
      <c r="Z137" s="237">
        <f>IF(Table1[[#This Row],[h_hargasebelumdiskon]]="","",IF(Table1[[#This Row],[Column14]]="",0,Table1[[#This Row],[h_hargasebelumdiskon]]*Table1[[#This Row],[Column14]]))</f>
        <v>123000</v>
      </c>
      <c r="AA137" s="237">
        <f>IF(Table1[[#This Row],[h_hargasebelumdiskon]]="","",IF(Table1[[#This Row],[Column15]]="",0,(Table1[[#This Row],[h_hargasebelumdiskon]]-Table1[[#This Row],[h_disc 1]])*Table1[[#This Row],[Column15]]))</f>
        <v>0</v>
      </c>
      <c r="AB137" s="237">
        <f>IF(Table1[[#This Row],[Column12]]="","",Table1[[#This Row],[h_disc 1]]+Table1[[#This Row],[h_disc 2]])</f>
        <v>123000</v>
      </c>
      <c r="AC137" s="237">
        <f>IF(Table1[[#This Row],[Column12]]="","",Table1[[#This Row],[h_hargasebelumdiskon]]-Table1[[#This Row],[h_diskon]])</f>
        <v>861000</v>
      </c>
      <c r="AD137" s="237" t="str">
        <f ca="1">IF(Table1[[#This Row],[//]]="","",SUMIF(Table1[h_id],Table1[[#This Row],[h_id]],Table1[h_hargasetelahdiskon]))</f>
        <v/>
      </c>
      <c r="AF137" s="237" t="str">
        <f>Table1[[#This Row],[Column12]]&amp;Table1[[#This Row],[Unit]]&amp;Table1[[#This Row],[Column13]]</f>
        <v>BINDER CLIP KENKO NO. 111GRS49200</v>
      </c>
      <c r="AG137"/>
      <c r="AH137"/>
      <c r="AI137"/>
    </row>
    <row r="138" spans="1:35">
      <c r="A138" s="234" t="str">
        <f ca="1">IF(Table1[[#This Row],[No. Invoice :]]="","",ROW())</f>
        <v/>
      </c>
      <c r="B138" s="234" t="str">
        <f ca="1">IF(Table1[[#This Row],[Column3]]="","",B$1+COUNT(INDIRECT("B$2:B"&amp;ROW()-1)))</f>
        <v/>
      </c>
      <c r="C138" s="235" t="str">
        <f>IF(Table1[[#This Row],[Column2]]="","",Table1[[#This Row],[Column2]]+C$1-1)</f>
        <v/>
      </c>
      <c r="E138" s="236"/>
      <c r="F138" s="234"/>
      <c r="G138" s="234" t="str">
        <f ca="1">IF(Table1[[#This Row],[h_No. Invoice :]]="","",CONCATENATE("AM"," ",Table1[[#This Row],[h_No. Invoice :]]))</f>
        <v/>
      </c>
      <c r="H138" s="234" t="str">
        <f>IF(Table1[[#This Row],[Column5]]="","",INDEX(Table2[Column1],MATCH(Table1[[#This Row],[Column5]],Table2[a],0)))</f>
        <v/>
      </c>
      <c r="I138" s="234" t="str">
        <f>IF(Table1[[#This Row],[Column3]]=0,"",CONCATENATE(UPPER(Table1[[#This Row],[Column3]])," ",Table1[[#This Row],[Column4]]))</f>
        <v xml:space="preserve"> </v>
      </c>
      <c r="J138" s="234" t="str">
        <f>IF(Table1[[#This Row],[Column5]]="","",INDEX(Table2[e],IF(Table1[[#This Row],[Column5]]="","",MATCH(Table1[[#This Row],[Column5]],Table2[a],0)),))</f>
        <v/>
      </c>
      <c r="K138" s="234"/>
      <c r="L138" s="234"/>
      <c r="O138" s="234" t="str">
        <f>IF(Table1[[#This Row],[h_Item Description]]="","",INDEX([1]!db[NB PAJAK],MATCH(Table1[[#This Row],[h_Item Description]],[1]!db[kode],0)))</f>
        <v/>
      </c>
      <c r="Q138" s="237"/>
      <c r="R138" s="238"/>
      <c r="S138" s="238"/>
      <c r="T138" s="237" t="str">
        <f>Table1[[#This Row],[h_hargasetelahdiskon]]</f>
        <v/>
      </c>
      <c r="V138" s="234"/>
      <c r="W138" s="234" t="str">
        <f ca="1">IF(Table1[[#This Row],[Column12]]="","",IF(Table1[[#This Row],[//]]="",INDIRECT(ADDRESS(ROW()-1,COLUMN())),Table1[[#This Row],[//]]))</f>
        <v/>
      </c>
      <c r="X138" s="234" t="str">
        <f ca="1">IF(Table1[[#This Row],[h_id]]="","",COUNTIF(Table1[h_id],Table1[[#This Row],[h_id]]))</f>
        <v/>
      </c>
      <c r="Y138" s="237" t="str">
        <f>IF(Table1[[#This Row],[Column12]]="","",Table1[[#This Row],[Qty]]*Table1[[#This Row],[Column13]])</f>
        <v/>
      </c>
      <c r="Z138" s="237" t="str">
        <f>IF(Table1[[#This Row],[h_hargasebelumdiskon]]="","",IF(Table1[[#This Row],[Column14]]="",0,Table1[[#This Row],[h_hargasebelumdiskon]]*Table1[[#This Row],[Column14]]))</f>
        <v/>
      </c>
      <c r="AA138" s="237" t="str">
        <f>IF(Table1[[#This Row],[h_hargasebelumdiskon]]="","",IF(Table1[[#This Row],[Column15]]="",0,(Table1[[#This Row],[h_hargasebelumdiskon]]-Table1[[#This Row],[h_disc 1]])*Table1[[#This Row],[Column15]]))</f>
        <v/>
      </c>
      <c r="AB138" s="237" t="str">
        <f>IF(Table1[[#This Row],[Column12]]="","",Table1[[#This Row],[h_disc 1]]+Table1[[#This Row],[h_disc 2]])</f>
        <v/>
      </c>
      <c r="AC138" s="237" t="str">
        <f>IF(Table1[[#This Row],[Column12]]="","",Table1[[#This Row],[h_hargasebelumdiskon]]-Table1[[#This Row],[h_diskon]])</f>
        <v/>
      </c>
      <c r="AD138" s="237" t="str">
        <f ca="1">IF(Table1[[#This Row],[//]]="","",SUMIF(Table1[h_id],Table1[[#This Row],[h_id]],Table1[h_hargasetelahdiskon]))</f>
        <v/>
      </c>
      <c r="AF138" s="237" t="str">
        <f>Table1[[#This Row],[Column12]]&amp;Table1[[#This Row],[Unit]]&amp;Table1[[#This Row],[Column13]]</f>
        <v/>
      </c>
      <c r="AG138"/>
      <c r="AH138"/>
      <c r="AI138"/>
    </row>
    <row r="139" spans="1:35">
      <c r="A139" s="234">
        <f ca="1">IF(Table1[[#This Row],[No. Invoice :]]="","",ROW())</f>
        <v>139</v>
      </c>
      <c r="B139" s="234">
        <f ca="1">IF(Table1[[#This Row],[Column3]]="","",B$1+COUNT(INDIRECT("B$2:B"&amp;ROW()-1)))</f>
        <v>24050024</v>
      </c>
      <c r="C139" s="235">
        <f>IF(Table1[[#This Row],[Column2]]="","",Table1[[#This Row],[Column2]]+C$1-1)</f>
        <v>45433</v>
      </c>
      <c r="D139" s="242">
        <v>21</v>
      </c>
      <c r="E139" s="236" t="s">
        <v>402</v>
      </c>
      <c r="F139" s="234" t="s">
        <v>80</v>
      </c>
      <c r="G139" s="234" t="str">
        <f ca="1">IF(Table1[[#This Row],[h_No. Invoice :]]="","",CONCATENATE("AM"," ",Table1[[#This Row],[h_No. Invoice :]]))</f>
        <v>AM 24050024</v>
      </c>
      <c r="H139" s="234" t="str">
        <f>IF(Table1[[#This Row],[Column5]]="","",INDEX(Table2[Column1],MATCH(Table1[[#This Row],[Column5]],Table2[a],0)))</f>
        <v>KO</v>
      </c>
      <c r="I139" s="234" t="str">
        <f>IF(Table1[[#This Row],[Column3]]=0,"",CONCATENATE(UPPER(Table1[[#This Row],[Column3]])," ",Table1[[#This Row],[Column4]]))</f>
        <v>KO 4957</v>
      </c>
      <c r="J139" s="234" t="str">
        <f>IF(Table1[[#This Row],[Column5]]="","",INDEX(Table2[e],IF(Table1[[#This Row],[Column5]]="","",MATCH(Table1[[#This Row],[Column5]],Table2[a],0)),))</f>
        <v>CV PELITA JAYA (ANUGERAH SEJAHTERA) PURWOKERTO</v>
      </c>
      <c r="K139" s="234">
        <v>48</v>
      </c>
      <c r="L139" s="234" t="s">
        <v>186</v>
      </c>
      <c r="M139" s="234">
        <v>2</v>
      </c>
      <c r="N139" s="234" t="s">
        <v>300</v>
      </c>
      <c r="O139" s="234" t="str">
        <f>IF(Table1[[#This Row],[h_Item Description]]="","",INDEX([1]!db[NB PAJAK],MATCH(Table1[[#This Row],[h_Item Description]],[1]!db[kode],0)))</f>
        <v>PENSIL WARNA KENKO CP-12F CLASSIC (PANJANG)</v>
      </c>
      <c r="P139" s="234" t="s">
        <v>313</v>
      </c>
      <c r="Q139" s="237">
        <v>124200</v>
      </c>
      <c r="R139" s="238">
        <v>0.13500000000000001</v>
      </c>
      <c r="S139" s="238"/>
      <c r="T139" s="237">
        <f>Table1[[#This Row],[h_hargasetelahdiskon]]</f>
        <v>5156784</v>
      </c>
      <c r="U139" s="237" t="s">
        <v>129</v>
      </c>
      <c r="V139" s="234"/>
      <c r="W139" s="234">
        <f ca="1">IF(Table1[[#This Row],[Column12]]="","",IF(Table1[[#This Row],[//]]="",INDIRECT(ADDRESS(ROW()-1,COLUMN())),Table1[[#This Row],[//]]))</f>
        <v>139</v>
      </c>
      <c r="X139" s="234">
        <f ca="1">IF(Table1[[#This Row],[h_id]]="","",COUNTIF(Table1[h_id],Table1[[#This Row],[h_id]]))</f>
        <v>2</v>
      </c>
      <c r="Y139" s="237">
        <f>IF(Table1[[#This Row],[Column12]]="","",Table1[[#This Row],[Qty]]*Table1[[#This Row],[Column13]])</f>
        <v>5961600</v>
      </c>
      <c r="Z139" s="237">
        <f>IF(Table1[[#This Row],[h_hargasebelumdiskon]]="","",IF(Table1[[#This Row],[Column14]]="",0,Table1[[#This Row],[h_hargasebelumdiskon]]*Table1[[#This Row],[Column14]]))</f>
        <v>804816</v>
      </c>
      <c r="AA139" s="237">
        <f>IF(Table1[[#This Row],[h_hargasebelumdiskon]]="","",IF(Table1[[#This Row],[Column15]]="",0,(Table1[[#This Row],[h_hargasebelumdiskon]]-Table1[[#This Row],[h_disc 1]])*Table1[[#This Row],[Column15]]))</f>
        <v>0</v>
      </c>
      <c r="AB139" s="237">
        <f>IF(Table1[[#This Row],[Column12]]="","",Table1[[#This Row],[h_disc 1]]+Table1[[#This Row],[h_disc 2]])</f>
        <v>804816</v>
      </c>
      <c r="AC139" s="237">
        <f>IF(Table1[[#This Row],[Column12]]="","",Table1[[#This Row],[h_hargasebelumdiskon]]-Table1[[#This Row],[h_diskon]])</f>
        <v>5156784</v>
      </c>
      <c r="AD139" s="237">
        <f ca="1">IF(Table1[[#This Row],[//]]="","",SUMIF(Table1[h_id],Table1[[#This Row],[h_id]],Table1[h_hargasetelahdiskon]))</f>
        <v>7697808</v>
      </c>
      <c r="AF139" s="237" t="str">
        <f>Table1[[#This Row],[Column12]]&amp;Table1[[#This Row],[Unit]]&amp;Table1[[#This Row],[Column13]]</f>
        <v>PENSIL WARNA KENKO CP-12F CLASSIC (PANJANG)LSN124200</v>
      </c>
      <c r="AG139"/>
      <c r="AH139"/>
      <c r="AI139"/>
    </row>
    <row r="140" spans="1:35">
      <c r="A140" s="234" t="str">
        <f ca="1">IF(Table1[[#This Row],[No. Invoice :]]="","",ROW())</f>
        <v/>
      </c>
      <c r="B140" s="432" t="str">
        <f ca="1">IF(Table1[[#This Row],[Column3]]="","",B$1+COUNT(INDIRECT("B$2:B"&amp;ROW()-1)))</f>
        <v/>
      </c>
      <c r="C140" s="235" t="str">
        <f>IF(Table1[[#This Row],[Column2]]="","",Table1[[#This Row],[Column2]]+C$1-1)</f>
        <v/>
      </c>
      <c r="D140" s="433"/>
      <c r="E140" s="236"/>
      <c r="F140" s="234"/>
      <c r="G140" s="234" t="str">
        <f ca="1">IF(Table1[[#This Row],[h_No. Invoice :]]="","",CONCATENATE("AM"," ",Table1[[#This Row],[h_No. Invoice :]]))</f>
        <v/>
      </c>
      <c r="H140" s="432" t="str">
        <f>IF(Table1[[#This Row],[Column5]]="","",INDEX(Table2[Column1],MATCH(Table1[[#This Row],[Column5]],Table2[a],0)))</f>
        <v/>
      </c>
      <c r="I140" s="234" t="str">
        <f>IF(Table1[[#This Row],[Column3]]=0,"",CONCATENATE(UPPER(Table1[[#This Row],[Column3]])," ",Table1[[#This Row],[Column4]]))</f>
        <v xml:space="preserve"> </v>
      </c>
      <c r="J140" s="234" t="str">
        <f>IF(Table1[[#This Row],[Column5]]="","",INDEX(Table2[e],IF(Table1[[#This Row],[Column5]]="","",MATCH(Table1[[#This Row],[Column5]],Table2[a],0)),))</f>
        <v/>
      </c>
      <c r="K140" s="234">
        <v>24</v>
      </c>
      <c r="L140" s="234" t="s">
        <v>186</v>
      </c>
      <c r="M140" s="234">
        <v>2</v>
      </c>
      <c r="N140" s="234" t="s">
        <v>403</v>
      </c>
      <c r="O140" s="432" t="str">
        <f>IF(Table1[[#This Row],[h_Item Description]]="","",INDEX([1]!db[NB PAJAK],MATCH(Table1[[#This Row],[h_Item Description]],[1]!db[kode],0)))</f>
        <v>PENSIL WARNA JOYKO CP-12PB (PANJANG)</v>
      </c>
      <c r="P140" s="234" t="s">
        <v>404</v>
      </c>
      <c r="Q140" s="237">
        <v>122400</v>
      </c>
      <c r="R140" s="238">
        <v>0.13500000000000001</v>
      </c>
      <c r="S140" s="238"/>
      <c r="T140" s="435">
        <f>Table1[[#This Row],[h_hargasetelahdiskon]]</f>
        <v>2541024</v>
      </c>
      <c r="V140" s="234"/>
      <c r="W140" s="234">
        <f ca="1">IF(Table1[[#This Row],[Column12]]="","",IF(Table1[[#This Row],[//]]="",INDIRECT(ADDRESS(ROW()-1,COLUMN())),Table1[[#This Row],[//]]))</f>
        <v>139</v>
      </c>
      <c r="X140" s="234">
        <f ca="1">IF(Table1[[#This Row],[h_id]]="","",COUNTIF(Table1[h_id],Table1[[#This Row],[h_id]]))</f>
        <v>2</v>
      </c>
      <c r="Y140" s="237">
        <f>IF(Table1[[#This Row],[Column12]]="","",Table1[[#This Row],[Qty]]*Table1[[#This Row],[Column13]])</f>
        <v>2937600</v>
      </c>
      <c r="Z140" s="435">
        <f>IF(Table1[[#This Row],[h_hargasebelumdiskon]]="","",IF(Table1[[#This Row],[Column14]]="",0,Table1[[#This Row],[h_hargasebelumdiskon]]*Table1[[#This Row],[Column14]]))</f>
        <v>396576</v>
      </c>
      <c r="AA140" s="435">
        <f>IF(Table1[[#This Row],[h_hargasebelumdiskon]]="","",IF(Table1[[#This Row],[Column15]]="",0,(Table1[[#This Row],[h_hargasebelumdiskon]]-Table1[[#This Row],[h_disc 1]])*Table1[[#This Row],[Column15]]))</f>
        <v>0</v>
      </c>
      <c r="AB140" s="237">
        <f>IF(Table1[[#This Row],[Column12]]="","",Table1[[#This Row],[h_disc 1]]+Table1[[#This Row],[h_disc 2]])</f>
        <v>396576</v>
      </c>
      <c r="AC140" s="237">
        <f>IF(Table1[[#This Row],[Column12]]="","",Table1[[#This Row],[h_hargasebelumdiskon]]-Table1[[#This Row],[h_diskon]])</f>
        <v>2541024</v>
      </c>
      <c r="AD140" s="237" t="str">
        <f ca="1">IF(Table1[[#This Row],[//]]="","",SUMIF(Table1[h_id],Table1[[#This Row],[h_id]],Table1[h_hargasetelahdiskon]))</f>
        <v/>
      </c>
      <c r="AF140" s="237" t="str">
        <f>Table1[[#This Row],[Column12]]&amp;Table1[[#This Row],[Unit]]&amp;Table1[[#This Row],[Column13]]</f>
        <v>PENSIL WARNA JOYKO CP-12PB (PANJANG)LSN122400</v>
      </c>
      <c r="AG140"/>
      <c r="AH140"/>
      <c r="AI140"/>
    </row>
    <row r="141" spans="1:35">
      <c r="A141" s="234">
        <f ca="1">IF(Table1[[#This Row],[No. Invoice :]]="","",ROW())</f>
        <v>141</v>
      </c>
      <c r="B141" s="437">
        <f ca="1">IF(Table1[[#This Row],[Column3]]="","",B$1+COUNT(INDIRECT("B$2:B"&amp;ROW()-1)))</f>
        <v>24050025</v>
      </c>
      <c r="C141" s="235">
        <f>IF(Table1[[#This Row],[Column2]]="","",Table1[[#This Row],[Column2]]+C$1-1)</f>
        <v>45412</v>
      </c>
      <c r="D141" s="438">
        <v>0</v>
      </c>
      <c r="E141" s="236" t="s">
        <v>401</v>
      </c>
      <c r="F141" s="437">
        <v>0</v>
      </c>
      <c r="G141" s="234" t="str">
        <f ca="1">IF(Table1[[#This Row],[h_No. Invoice :]]="","",CONCATENATE("AM"," ",Table1[[#This Row],[h_No. Invoice :]]))</f>
        <v>AM 24050025</v>
      </c>
      <c r="H141" s="437">
        <f>IF(Table1[[#This Row],[Column5]]="","",INDEX(Table2[Column1],MATCH(Table1[[#This Row],[Column5]],Table2[a],0)))</f>
        <v>0</v>
      </c>
      <c r="I141" s="234" t="str">
        <f>IF(Table1[[#This Row],[Column3]]=0,"",CONCATENATE(UPPER(Table1[[#This Row],[Column3]])," ",Table1[[#This Row],[Column4]]))</f>
        <v/>
      </c>
      <c r="J141" s="234" t="str">
        <f>IF(Table1[[#This Row],[Column5]]="","",INDEX(Table2[e],IF(Table1[[#This Row],[Column5]]="","",MATCH(Table1[[#This Row],[Column5]],Table2[a],0)),))</f>
        <v>0 0 0</v>
      </c>
      <c r="K141" s="234"/>
      <c r="L141" s="234"/>
      <c r="N141" s="437"/>
      <c r="O141" s="437" t="str">
        <f>IF(Table1[[#This Row],[h_Item Description]]="","",INDEX([1]!db[NB PAJAK],MATCH(Table1[[#This Row],[h_Item Description]],[1]!db[kode],0)))</f>
        <v/>
      </c>
      <c r="Q141" s="237"/>
      <c r="R141" s="238"/>
      <c r="S141" s="238"/>
      <c r="T141" s="440" t="str">
        <f>Table1[[#This Row],[h_hargasetelahdiskon]]</f>
        <v/>
      </c>
      <c r="V141" s="234"/>
      <c r="W141" s="234" t="str">
        <f ca="1">IF(Table1[[#This Row],[Column12]]="","",IF(Table1[[#This Row],[//]]="",INDIRECT(ADDRESS(ROW()-1,COLUMN())),Table1[[#This Row],[//]]))</f>
        <v/>
      </c>
      <c r="X141" s="234" t="str">
        <f ca="1">IF(Table1[[#This Row],[h_id]]="","",COUNTIF(Table1[h_id],Table1[[#This Row],[h_id]]))</f>
        <v/>
      </c>
      <c r="Y141" s="237" t="str">
        <f>IF(Table1[[#This Row],[Column12]]="","",Table1[[#This Row],[Qty]]*Table1[[#This Row],[Column13]])</f>
        <v/>
      </c>
      <c r="Z141" s="440" t="str">
        <f>IF(Table1[[#This Row],[h_hargasebelumdiskon]]="","",IF(Table1[[#This Row],[Column14]]="",0,Table1[[#This Row],[h_hargasebelumdiskon]]*Table1[[#This Row],[Column14]]))</f>
        <v/>
      </c>
      <c r="AA141" s="440" t="str">
        <f>IF(Table1[[#This Row],[h_hargasebelumdiskon]]="","",IF(Table1[[#This Row],[Column15]]="",0,(Table1[[#This Row],[h_hargasebelumdiskon]]-Table1[[#This Row],[h_disc 1]])*Table1[[#This Row],[Column15]]))</f>
        <v/>
      </c>
      <c r="AB141" s="237" t="str">
        <f>IF(Table1[[#This Row],[Column12]]="","",Table1[[#This Row],[h_disc 1]]+Table1[[#This Row],[h_disc 2]])</f>
        <v/>
      </c>
      <c r="AC141" s="237" t="str">
        <f>IF(Table1[[#This Row],[Column12]]="","",Table1[[#This Row],[h_hargasebelumdiskon]]-Table1[[#This Row],[h_diskon]])</f>
        <v/>
      </c>
      <c r="AD141" s="237">
        <f ca="1">IF(Table1[[#This Row],[//]]="","",SUMIF(Table1[h_id],Table1[[#This Row],[h_id]],Table1[h_hargasetelahdiskon]))</f>
        <v>0</v>
      </c>
      <c r="AF141" s="237" t="str">
        <f>Table1[[#This Row],[Column12]]&amp;Table1[[#This Row],[Unit]]&amp;Table1[[#This Row],[Column13]]</f>
        <v/>
      </c>
      <c r="AG141"/>
      <c r="AH141"/>
      <c r="AI141"/>
    </row>
    <row r="142" spans="1:35">
      <c r="A142" s="234">
        <f ca="1">IF(Table1[[#This Row],[No. Invoice :]]="","",ROW())</f>
        <v>142</v>
      </c>
      <c r="B142" s="437">
        <f ca="1">IF(Table1[[#This Row],[Column3]]="","",B$1+COUNT(INDIRECT("B$2:B"&amp;ROW()-1)))</f>
        <v>24050026</v>
      </c>
      <c r="C142" s="235">
        <f>IF(Table1[[#This Row],[Column2]]="","",Table1[[#This Row],[Column2]]+C$1-1)</f>
        <v>45412</v>
      </c>
      <c r="D142" s="438">
        <v>0</v>
      </c>
      <c r="E142" s="236" t="s">
        <v>401</v>
      </c>
      <c r="F142" s="234">
        <v>0</v>
      </c>
      <c r="G142" s="234" t="str">
        <f ca="1">IF(Table1[[#This Row],[h_No. Invoice :]]="","",CONCATENATE("AM"," ",Table1[[#This Row],[h_No. Invoice :]]))</f>
        <v>AM 24050026</v>
      </c>
      <c r="H142" s="437">
        <f>IF(Table1[[#This Row],[Column5]]="","",INDEX(Table2[Column1],MATCH(Table1[[#This Row],[Column5]],Table2[a],0)))</f>
        <v>0</v>
      </c>
      <c r="I142" s="234" t="str">
        <f>IF(Table1[[#This Row],[Column3]]=0,"",CONCATENATE(UPPER(Table1[[#This Row],[Column3]])," ",Table1[[#This Row],[Column4]]))</f>
        <v/>
      </c>
      <c r="J142" s="234" t="str">
        <f>IF(Table1[[#This Row],[Column5]]="","",INDEX(Table2[e],IF(Table1[[#This Row],[Column5]]="","",MATCH(Table1[[#This Row],[Column5]],Table2[a],0)),))</f>
        <v>0 0 0</v>
      </c>
      <c r="K142" s="234"/>
      <c r="L142" s="234"/>
      <c r="O142" s="437" t="str">
        <f>IF(Table1[[#This Row],[h_Item Description]]="","",INDEX([1]!db[NB PAJAK],MATCH(Table1[[#This Row],[h_Item Description]],[1]!db[kode],0)))</f>
        <v/>
      </c>
      <c r="Q142" s="237"/>
      <c r="R142" s="238"/>
      <c r="S142" s="238"/>
      <c r="T142" s="440" t="str">
        <f>Table1[[#This Row],[h_hargasetelahdiskon]]</f>
        <v/>
      </c>
      <c r="V142" s="234"/>
      <c r="W142" s="234" t="str">
        <f ca="1">IF(Table1[[#This Row],[Column12]]="","",IF(Table1[[#This Row],[//]]="",INDIRECT(ADDRESS(ROW()-1,COLUMN())),Table1[[#This Row],[//]]))</f>
        <v/>
      </c>
      <c r="X142" s="234" t="str">
        <f ca="1">IF(Table1[[#This Row],[h_id]]="","",COUNTIF(Table1[h_id],Table1[[#This Row],[h_id]]))</f>
        <v/>
      </c>
      <c r="Y142" s="237" t="str">
        <f>IF(Table1[[#This Row],[Column12]]="","",Table1[[#This Row],[Qty]]*Table1[[#This Row],[Column13]])</f>
        <v/>
      </c>
      <c r="Z142" s="440" t="str">
        <f>IF(Table1[[#This Row],[h_hargasebelumdiskon]]="","",IF(Table1[[#This Row],[Column14]]="",0,Table1[[#This Row],[h_hargasebelumdiskon]]*Table1[[#This Row],[Column14]]))</f>
        <v/>
      </c>
      <c r="AA142" s="440" t="str">
        <f>IF(Table1[[#This Row],[h_hargasebelumdiskon]]="","",IF(Table1[[#This Row],[Column15]]="",0,(Table1[[#This Row],[h_hargasebelumdiskon]]-Table1[[#This Row],[h_disc 1]])*Table1[[#This Row],[Column15]]))</f>
        <v/>
      </c>
      <c r="AB142" s="237" t="str">
        <f>IF(Table1[[#This Row],[Column12]]="","",Table1[[#This Row],[h_disc 1]]+Table1[[#This Row],[h_disc 2]])</f>
        <v/>
      </c>
      <c r="AC142" s="237" t="str">
        <f>IF(Table1[[#This Row],[Column12]]="","",Table1[[#This Row],[h_hargasebelumdiskon]]-Table1[[#This Row],[h_diskon]])</f>
        <v/>
      </c>
      <c r="AD142" s="237">
        <f ca="1">IF(Table1[[#This Row],[//]]="","",SUMIF(Table1[h_id],Table1[[#This Row],[h_id]],Table1[h_hargasetelahdiskon]))</f>
        <v>0</v>
      </c>
      <c r="AF142" s="237" t="str">
        <f>Table1[[#This Row],[Column12]]&amp;Table1[[#This Row],[Unit]]&amp;Table1[[#This Row],[Column13]]</f>
        <v/>
      </c>
      <c r="AG142"/>
      <c r="AH142"/>
      <c r="AI142"/>
    </row>
    <row r="143" spans="1:35">
      <c r="A143" s="234">
        <f ca="1">IF(Table1[[#This Row],[No. Invoice :]]="","",ROW())</f>
        <v>143</v>
      </c>
      <c r="B143" s="234">
        <f ca="1">IF(Table1[[#This Row],[Column3]]="","",B$1+COUNT(INDIRECT("B$2:B"&amp;ROW()-1)))</f>
        <v>24050027</v>
      </c>
      <c r="C143" s="235">
        <f>IF(Table1[[#This Row],[Column2]]="","",Table1[[#This Row],[Column2]]+C$1-1)</f>
        <v>45412</v>
      </c>
      <c r="D143" s="242">
        <v>0</v>
      </c>
      <c r="E143" s="236" t="s">
        <v>401</v>
      </c>
      <c r="F143" s="234">
        <v>0</v>
      </c>
      <c r="G143" s="234" t="str">
        <f ca="1">IF(Table1[[#This Row],[h_No. Invoice :]]="","",CONCATENATE("AM"," ",Table1[[#This Row],[h_No. Invoice :]]))</f>
        <v>AM 24050027</v>
      </c>
      <c r="H143" s="234">
        <f>IF(Table1[[#This Row],[Column5]]="","",INDEX(Table2[Column1],MATCH(Table1[[#This Row],[Column5]],Table2[a],0)))</f>
        <v>0</v>
      </c>
      <c r="I143" s="234" t="str">
        <f>IF(Table1[[#This Row],[Column3]]=0,"",CONCATENATE(UPPER(Table1[[#This Row],[Column3]])," ",Table1[[#This Row],[Column4]]))</f>
        <v/>
      </c>
      <c r="J143" s="234" t="str">
        <f>IF(Table1[[#This Row],[Column5]]="","",INDEX(Table2[e],IF(Table1[[#This Row],[Column5]]="","",MATCH(Table1[[#This Row],[Column5]],Table2[a],0)),))</f>
        <v>0 0 0</v>
      </c>
      <c r="K143" s="234"/>
      <c r="L143" s="234"/>
      <c r="O143" s="234" t="str">
        <f>IF(Table1[[#This Row],[h_Item Description]]="","",INDEX([1]!db[NB PAJAK],MATCH(Table1[[#This Row],[h_Item Description]],[1]!db[kode],0)))</f>
        <v/>
      </c>
      <c r="Q143" s="237"/>
      <c r="R143" s="238"/>
      <c r="S143" s="238"/>
      <c r="T143" s="237" t="str">
        <f>Table1[[#This Row],[h_hargasetelahdiskon]]</f>
        <v/>
      </c>
      <c r="V143" s="234"/>
      <c r="W143" s="234" t="str">
        <f ca="1">IF(Table1[[#This Row],[Column12]]="","",IF(Table1[[#This Row],[//]]="",INDIRECT(ADDRESS(ROW()-1,COLUMN())),Table1[[#This Row],[//]]))</f>
        <v/>
      </c>
      <c r="X143" s="234" t="str">
        <f ca="1">IF(Table1[[#This Row],[h_id]]="","",COUNTIF(Table1[h_id],Table1[[#This Row],[h_id]]))</f>
        <v/>
      </c>
      <c r="Y143" s="237" t="str">
        <f>IF(Table1[[#This Row],[Column12]]="","",Table1[[#This Row],[Qty]]*Table1[[#This Row],[Column13]])</f>
        <v/>
      </c>
      <c r="Z143" s="237" t="str">
        <f>IF(Table1[[#This Row],[h_hargasebelumdiskon]]="","",IF(Table1[[#This Row],[Column14]]="",0,Table1[[#This Row],[h_hargasebelumdiskon]]*Table1[[#This Row],[Column14]]))</f>
        <v/>
      </c>
      <c r="AA143" s="237" t="str">
        <f>IF(Table1[[#This Row],[h_hargasebelumdiskon]]="","",IF(Table1[[#This Row],[Column15]]="",0,(Table1[[#This Row],[h_hargasebelumdiskon]]-Table1[[#This Row],[h_disc 1]])*Table1[[#This Row],[Column15]]))</f>
        <v/>
      </c>
      <c r="AB143" s="237" t="str">
        <f>IF(Table1[[#This Row],[Column12]]="","",Table1[[#This Row],[h_disc 1]]+Table1[[#This Row],[h_disc 2]])</f>
        <v/>
      </c>
      <c r="AC143" s="237" t="str">
        <f>IF(Table1[[#This Row],[Column12]]="","",Table1[[#This Row],[h_hargasebelumdiskon]]-Table1[[#This Row],[h_diskon]])</f>
        <v/>
      </c>
      <c r="AD143" s="237">
        <f ca="1">IF(Table1[[#This Row],[//]]="","",SUMIF(Table1[h_id],Table1[[#This Row],[h_id]],Table1[h_hargasetelahdiskon]))</f>
        <v>0</v>
      </c>
      <c r="AF143" s="237" t="str">
        <f>Table1[[#This Row],[Column12]]&amp;Table1[[#This Row],[Unit]]&amp;Table1[[#This Row],[Column13]]</f>
        <v/>
      </c>
      <c r="AG143"/>
      <c r="AH143"/>
      <c r="AI143"/>
    </row>
    <row r="144" spans="1:35">
      <c r="A144" s="234">
        <f ca="1">IF(Table1[[#This Row],[No. Invoice :]]="","",ROW())</f>
        <v>144</v>
      </c>
      <c r="B144" s="234">
        <f ca="1">IF(Table1[[#This Row],[Column3]]="","",B$1+COUNT(INDIRECT("B$2:B"&amp;ROW()-1)))</f>
        <v>24050028</v>
      </c>
      <c r="C144" s="235">
        <f>IF(Table1[[#This Row],[Column2]]="","",Table1[[#This Row],[Column2]]+C$1-1)</f>
        <v>45412</v>
      </c>
      <c r="D144" s="242">
        <v>0</v>
      </c>
      <c r="E144" s="236" t="s">
        <v>401</v>
      </c>
      <c r="F144" s="234">
        <v>0</v>
      </c>
      <c r="G144" s="234" t="str">
        <f ca="1">IF(Table1[[#This Row],[h_No. Invoice :]]="","",CONCATENATE("AM"," ",Table1[[#This Row],[h_No. Invoice :]]))</f>
        <v>AM 24050028</v>
      </c>
      <c r="H144" s="234">
        <f>IF(Table1[[#This Row],[Column5]]="","",INDEX(Table2[Column1],MATCH(Table1[[#This Row],[Column5]],Table2[a],0)))</f>
        <v>0</v>
      </c>
      <c r="I144" s="234" t="str">
        <f>IF(Table1[[#This Row],[Column3]]=0,"",CONCATENATE(UPPER(Table1[[#This Row],[Column3]])," ",Table1[[#This Row],[Column4]]))</f>
        <v/>
      </c>
      <c r="J144" s="234" t="str">
        <f>IF(Table1[[#This Row],[Column5]]="","",INDEX(Table2[e],IF(Table1[[#This Row],[Column5]]="","",MATCH(Table1[[#This Row],[Column5]],Table2[a],0)),))</f>
        <v>0 0 0</v>
      </c>
      <c r="K144" s="234"/>
      <c r="L144" s="234"/>
      <c r="O144" s="234" t="str">
        <f>IF(Table1[[#This Row],[h_Item Description]]="","",INDEX([1]!db[NB PAJAK],MATCH(Table1[[#This Row],[h_Item Description]],[1]!db[kode],0)))</f>
        <v/>
      </c>
      <c r="Q144" s="237"/>
      <c r="R144" s="238"/>
      <c r="S144" s="238"/>
      <c r="T144" s="237" t="str">
        <f>Table1[[#This Row],[h_hargasetelahdiskon]]</f>
        <v/>
      </c>
      <c r="V144" s="234"/>
      <c r="W144" s="234" t="str">
        <f ca="1">IF(Table1[[#This Row],[Column12]]="","",IF(Table1[[#This Row],[//]]="",INDIRECT(ADDRESS(ROW()-1,COLUMN())),Table1[[#This Row],[//]]))</f>
        <v/>
      </c>
      <c r="X144" s="234" t="str">
        <f ca="1">IF(Table1[[#This Row],[h_id]]="","",COUNTIF(Table1[h_id],Table1[[#This Row],[h_id]]))</f>
        <v/>
      </c>
      <c r="Y144" s="237" t="str">
        <f>IF(Table1[[#This Row],[Column12]]="","",Table1[[#This Row],[Qty]]*Table1[[#This Row],[Column13]])</f>
        <v/>
      </c>
      <c r="Z144" s="237" t="str">
        <f>IF(Table1[[#This Row],[h_hargasebelumdiskon]]="","",IF(Table1[[#This Row],[Column14]]="",0,Table1[[#This Row],[h_hargasebelumdiskon]]*Table1[[#This Row],[Column14]]))</f>
        <v/>
      </c>
      <c r="AA144" s="237" t="str">
        <f>IF(Table1[[#This Row],[h_hargasebelumdiskon]]="","",IF(Table1[[#This Row],[Column15]]="",0,(Table1[[#This Row],[h_hargasebelumdiskon]]-Table1[[#This Row],[h_disc 1]])*Table1[[#This Row],[Column15]]))</f>
        <v/>
      </c>
      <c r="AB144" s="237" t="str">
        <f>IF(Table1[[#This Row],[Column12]]="","",Table1[[#This Row],[h_disc 1]]+Table1[[#This Row],[h_disc 2]])</f>
        <v/>
      </c>
      <c r="AC144" s="237" t="str">
        <f>IF(Table1[[#This Row],[Column12]]="","",Table1[[#This Row],[h_hargasebelumdiskon]]-Table1[[#This Row],[h_diskon]])</f>
        <v/>
      </c>
      <c r="AD144" s="237">
        <f ca="1">IF(Table1[[#This Row],[//]]="","",SUMIF(Table1[h_id],Table1[[#This Row],[h_id]],Table1[h_hargasetelahdiskon]))</f>
        <v>0</v>
      </c>
      <c r="AF144" s="237" t="str">
        <f>Table1[[#This Row],[Column12]]&amp;Table1[[#This Row],[Unit]]&amp;Table1[[#This Row],[Column13]]</f>
        <v/>
      </c>
      <c r="AG144"/>
      <c r="AH144"/>
      <c r="AI144"/>
    </row>
    <row r="145" spans="1:35">
      <c r="A145" s="234" t="str">
        <f ca="1">IF(Table1[[#This Row],[No. Invoice :]]="","",ROW())</f>
        <v/>
      </c>
      <c r="B145" s="234" t="str">
        <f ca="1">IF(Table1[[#This Row],[Column3]]="","",B$1+COUNT(INDIRECT("B$2:B"&amp;ROW()-1)))</f>
        <v/>
      </c>
      <c r="C145" s="235" t="str">
        <f>IF(Table1[[#This Row],[Column2]]="","",Table1[[#This Row],[Column2]]+C$1-1)</f>
        <v/>
      </c>
      <c r="E145" s="236"/>
      <c r="F145" s="234"/>
      <c r="G145" s="234" t="str">
        <f ca="1">IF(Table1[[#This Row],[h_No. Invoice :]]="","",CONCATENATE("AM"," ",Table1[[#This Row],[h_No. Invoice :]]))</f>
        <v/>
      </c>
      <c r="H145" s="234" t="str">
        <f>IF(Table1[[#This Row],[Column5]]="","",INDEX(Table2[Column1],MATCH(Table1[[#This Row],[Column5]],Table2[a],0)))</f>
        <v/>
      </c>
      <c r="I145" s="234" t="str">
        <f>IF(Table1[[#This Row],[Column3]]=0,"",CONCATENATE(UPPER(Table1[[#This Row],[Column3]])," ",Table1[[#This Row],[Column4]]))</f>
        <v xml:space="preserve"> </v>
      </c>
      <c r="J145" s="234" t="str">
        <f>IF(Table1[[#This Row],[Column5]]="","",INDEX(Table2[e],IF(Table1[[#This Row],[Column5]]="","",MATCH(Table1[[#This Row],[Column5]],Table2[a],0)),))</f>
        <v/>
      </c>
      <c r="K145" s="234"/>
      <c r="L145" s="234"/>
      <c r="O145" s="234" t="str">
        <f>IF(Table1[[#This Row],[h_Item Description]]="","",INDEX([1]!db[NB PAJAK],MATCH(Table1[[#This Row],[h_Item Description]],[1]!db[kode],0)))</f>
        <v/>
      </c>
      <c r="Q145" s="237"/>
      <c r="R145" s="238"/>
      <c r="S145" s="238"/>
      <c r="T145" s="237" t="str">
        <f>Table1[[#This Row],[h_hargasetelahdiskon]]</f>
        <v/>
      </c>
      <c r="V145" s="234"/>
      <c r="W145" s="234" t="str">
        <f ca="1">IF(Table1[[#This Row],[Column12]]="","",IF(Table1[[#This Row],[//]]="",INDIRECT(ADDRESS(ROW()-1,COLUMN())),Table1[[#This Row],[//]]))</f>
        <v/>
      </c>
      <c r="X145" s="234" t="str">
        <f ca="1">IF(Table1[[#This Row],[h_id]]="","",COUNTIF(Table1[h_id],Table1[[#This Row],[h_id]]))</f>
        <v/>
      </c>
      <c r="Y145" s="237" t="str">
        <f>IF(Table1[[#This Row],[Column12]]="","",Table1[[#This Row],[Qty]]*Table1[[#This Row],[Column13]])</f>
        <v/>
      </c>
      <c r="Z145" s="237" t="str">
        <f>IF(Table1[[#This Row],[h_hargasebelumdiskon]]="","",IF(Table1[[#This Row],[Column14]]="",0,Table1[[#This Row],[h_hargasebelumdiskon]]*Table1[[#This Row],[Column14]]))</f>
        <v/>
      </c>
      <c r="AA145" s="237" t="str">
        <f>IF(Table1[[#This Row],[h_hargasebelumdiskon]]="","",IF(Table1[[#This Row],[Column15]]="",0,(Table1[[#This Row],[h_hargasebelumdiskon]]-Table1[[#This Row],[h_disc 1]])*Table1[[#This Row],[Column15]]))</f>
        <v/>
      </c>
      <c r="AB145" s="237" t="str">
        <f>IF(Table1[[#This Row],[Column12]]="","",Table1[[#This Row],[h_disc 1]]+Table1[[#This Row],[h_disc 2]])</f>
        <v/>
      </c>
      <c r="AC145" s="237" t="str">
        <f>IF(Table1[[#This Row],[Column12]]="","",Table1[[#This Row],[h_hargasebelumdiskon]]-Table1[[#This Row],[h_diskon]])</f>
        <v/>
      </c>
      <c r="AD145" s="237" t="str">
        <f ca="1">IF(Table1[[#This Row],[//]]="","",SUMIF(Table1[h_id],Table1[[#This Row],[h_id]],Table1[h_hargasetelahdiskon]))</f>
        <v/>
      </c>
      <c r="AF145" s="237" t="str">
        <f>Table1[[#This Row],[Column12]]&amp;Table1[[#This Row],[Unit]]&amp;Table1[[#This Row],[Column13]]</f>
        <v/>
      </c>
      <c r="AG145"/>
      <c r="AH145"/>
      <c r="AI145"/>
    </row>
    <row r="146" spans="1:35">
      <c r="A146" s="234" t="str">
        <f ca="1">IF(Table1[[#This Row],[No. Invoice :]]="","",ROW())</f>
        <v/>
      </c>
      <c r="B146" s="234" t="str">
        <f ca="1">IF(Table1[[#This Row],[Column3]]="","",B$1+COUNT(INDIRECT("B$2:B"&amp;ROW()-1)))</f>
        <v/>
      </c>
      <c r="C146" s="235" t="str">
        <f>IF(Table1[[#This Row],[Column2]]="","",Table1[[#This Row],[Column2]]+C$1-1)</f>
        <v/>
      </c>
      <c r="E146" s="236"/>
      <c r="F146" s="234"/>
      <c r="G146" s="234" t="str">
        <f ca="1">IF(Table1[[#This Row],[h_No. Invoice :]]="","",CONCATENATE("AM"," ",Table1[[#This Row],[h_No. Invoice :]]))</f>
        <v/>
      </c>
      <c r="H146" s="234" t="str">
        <f>IF(Table1[[#This Row],[Column5]]="","",INDEX(Table2[Column1],MATCH(Table1[[#This Row],[Column5]],Table2[a],0)))</f>
        <v/>
      </c>
      <c r="I146" s="234" t="str">
        <f>IF(Table1[[#This Row],[Column3]]=0,"",CONCATENATE(UPPER(Table1[[#This Row],[Column3]])," ",Table1[[#This Row],[Column4]]))</f>
        <v xml:space="preserve"> </v>
      </c>
      <c r="J146" s="234" t="str">
        <f>IF(Table1[[#This Row],[Column5]]="","",INDEX(Table2[e],IF(Table1[[#This Row],[Column5]]="","",MATCH(Table1[[#This Row],[Column5]],Table2[a],0)),))</f>
        <v/>
      </c>
      <c r="K146" s="234"/>
      <c r="L146" s="234"/>
      <c r="O146" s="234" t="str">
        <f>IF(Table1[[#This Row],[h_Item Description]]="","",INDEX([1]!db[NB PAJAK],MATCH(Table1[[#This Row],[h_Item Description]],[1]!db[kode],0)))</f>
        <v/>
      </c>
      <c r="Q146" s="237"/>
      <c r="R146" s="238"/>
      <c r="S146" s="238"/>
      <c r="T146" s="237" t="str">
        <f>Table1[[#This Row],[h_hargasetelahdiskon]]</f>
        <v/>
      </c>
      <c r="V146" s="234"/>
      <c r="W146" s="234" t="str">
        <f ca="1">IF(Table1[[#This Row],[Column12]]="","",IF(Table1[[#This Row],[//]]="",INDIRECT(ADDRESS(ROW()-1,COLUMN())),Table1[[#This Row],[//]]))</f>
        <v/>
      </c>
      <c r="X146" s="234" t="str">
        <f ca="1">IF(Table1[[#This Row],[h_id]]="","",COUNTIF(Table1[h_id],Table1[[#This Row],[h_id]]))</f>
        <v/>
      </c>
      <c r="Y146" s="237" t="str">
        <f>IF(Table1[[#This Row],[Column12]]="","",Table1[[#This Row],[Qty]]*Table1[[#This Row],[Column13]])</f>
        <v/>
      </c>
      <c r="Z146" s="237" t="str">
        <f>IF(Table1[[#This Row],[h_hargasebelumdiskon]]="","",IF(Table1[[#This Row],[Column14]]="",0,Table1[[#This Row],[h_hargasebelumdiskon]]*Table1[[#This Row],[Column14]]))</f>
        <v/>
      </c>
      <c r="AA146" s="237" t="str">
        <f>IF(Table1[[#This Row],[h_hargasebelumdiskon]]="","",IF(Table1[[#This Row],[Column15]]="",0,(Table1[[#This Row],[h_hargasebelumdiskon]]-Table1[[#This Row],[h_disc 1]])*Table1[[#This Row],[Column15]]))</f>
        <v/>
      </c>
      <c r="AB146" s="237" t="str">
        <f>IF(Table1[[#This Row],[Column12]]="","",Table1[[#This Row],[h_disc 1]]+Table1[[#This Row],[h_disc 2]])</f>
        <v/>
      </c>
      <c r="AC146" s="237" t="str">
        <f>IF(Table1[[#This Row],[Column12]]="","",Table1[[#This Row],[h_hargasebelumdiskon]]-Table1[[#This Row],[h_diskon]])</f>
        <v/>
      </c>
      <c r="AD146" s="237" t="str">
        <f ca="1">IF(Table1[[#This Row],[//]]="","",SUMIF(Table1[h_id],Table1[[#This Row],[h_id]],Table1[h_hargasetelahdiskon]))</f>
        <v/>
      </c>
      <c r="AF146" s="237" t="str">
        <f>Table1[[#This Row],[Column12]]&amp;Table1[[#This Row],[Unit]]&amp;Table1[[#This Row],[Column13]]</f>
        <v/>
      </c>
      <c r="AG146"/>
      <c r="AH146"/>
      <c r="AI146"/>
    </row>
    <row r="147" spans="1:35">
      <c r="A147" s="234" t="str">
        <f ca="1">IF(Table1[[#This Row],[No. Invoice :]]="","",ROW())</f>
        <v/>
      </c>
      <c r="B147" s="234" t="str">
        <f ca="1">IF(Table1[[#This Row],[Column3]]="","",B$1+COUNT(INDIRECT("B$2:B"&amp;ROW()-1)))</f>
        <v/>
      </c>
      <c r="C147" s="235" t="str">
        <f>IF(Table1[[#This Row],[Column2]]="","",Table1[[#This Row],[Column2]]+C$1-1)</f>
        <v/>
      </c>
      <c r="E147" s="236"/>
      <c r="F147" s="234"/>
      <c r="G147" s="234" t="str">
        <f ca="1">IF(Table1[[#This Row],[h_No. Invoice :]]="","",CONCATENATE("AM"," ",Table1[[#This Row],[h_No. Invoice :]]))</f>
        <v/>
      </c>
      <c r="H147" s="234" t="str">
        <f>IF(Table1[[#This Row],[Column5]]="","",INDEX(Table2[Column1],MATCH(Table1[[#This Row],[Column5]],Table2[a],0)))</f>
        <v/>
      </c>
      <c r="I147" s="234" t="str">
        <f>IF(Table1[[#This Row],[Column3]]=0,"",CONCATENATE(UPPER(Table1[[#This Row],[Column3]])," ",Table1[[#This Row],[Column4]]))</f>
        <v xml:space="preserve"> </v>
      </c>
      <c r="J147" s="234" t="str">
        <f>IF(Table1[[#This Row],[Column5]]="","",INDEX(Table2[e],IF(Table1[[#This Row],[Column5]]="","",MATCH(Table1[[#This Row],[Column5]],Table2[a],0)),))</f>
        <v/>
      </c>
      <c r="K147" s="234"/>
      <c r="L147" s="234"/>
      <c r="O147" s="234" t="str">
        <f>IF(Table1[[#This Row],[h_Item Description]]="","",INDEX([1]!db[NB PAJAK],MATCH(Table1[[#This Row],[h_Item Description]],[1]!db[kode],0)))</f>
        <v/>
      </c>
      <c r="Q147" s="237"/>
      <c r="R147" s="238"/>
      <c r="S147" s="238"/>
      <c r="T147" s="237" t="str">
        <f>Table1[[#This Row],[h_hargasetelahdiskon]]</f>
        <v/>
      </c>
      <c r="V147" s="234"/>
      <c r="W147" s="234" t="str">
        <f ca="1">IF(Table1[[#This Row],[Column12]]="","",IF(Table1[[#This Row],[//]]="",INDIRECT(ADDRESS(ROW()-1,COLUMN())),Table1[[#This Row],[//]]))</f>
        <v/>
      </c>
      <c r="X147" s="234" t="str">
        <f ca="1">IF(Table1[[#This Row],[h_id]]="","",COUNTIF(Table1[h_id],Table1[[#This Row],[h_id]]))</f>
        <v/>
      </c>
      <c r="Y147" s="237" t="str">
        <f>IF(Table1[[#This Row],[Column12]]="","",Table1[[#This Row],[Qty]]*Table1[[#This Row],[Column13]])</f>
        <v/>
      </c>
      <c r="Z147" s="237" t="str">
        <f>IF(Table1[[#This Row],[h_hargasebelumdiskon]]="","",IF(Table1[[#This Row],[Column14]]="",0,Table1[[#This Row],[h_hargasebelumdiskon]]*Table1[[#This Row],[Column14]]))</f>
        <v/>
      </c>
      <c r="AA147" s="237" t="str">
        <f>IF(Table1[[#This Row],[h_hargasebelumdiskon]]="","",IF(Table1[[#This Row],[Column15]]="",0,(Table1[[#This Row],[h_hargasebelumdiskon]]-Table1[[#This Row],[h_disc 1]])*Table1[[#This Row],[Column15]]))</f>
        <v/>
      </c>
      <c r="AB147" s="237" t="str">
        <f>IF(Table1[[#This Row],[Column12]]="","",Table1[[#This Row],[h_disc 1]]+Table1[[#This Row],[h_disc 2]])</f>
        <v/>
      </c>
      <c r="AC147" s="237" t="str">
        <f>IF(Table1[[#This Row],[Column12]]="","",Table1[[#This Row],[h_hargasebelumdiskon]]-Table1[[#This Row],[h_diskon]])</f>
        <v/>
      </c>
      <c r="AD147" s="237" t="str">
        <f ca="1">IF(Table1[[#This Row],[//]]="","",SUMIF(Table1[h_id],Table1[[#This Row],[h_id]],Table1[h_hargasetelahdiskon]))</f>
        <v/>
      </c>
      <c r="AF147" s="237" t="str">
        <f>Table1[[#This Row],[Column12]]&amp;Table1[[#This Row],[Unit]]&amp;Table1[[#This Row],[Column13]]</f>
        <v/>
      </c>
      <c r="AG147"/>
      <c r="AH147"/>
      <c r="AI147"/>
    </row>
    <row r="148" spans="1:35">
      <c r="A148" s="234" t="str">
        <f ca="1">IF(Table1[[#This Row],[No. Invoice :]]="","",ROW())</f>
        <v/>
      </c>
      <c r="B148" s="234" t="str">
        <f ca="1">IF(Table1[[#This Row],[Column3]]="","",B$1+COUNT(INDIRECT("B$2:B"&amp;ROW()-1)))</f>
        <v/>
      </c>
      <c r="C148" s="235" t="str">
        <f>IF(Table1[[#This Row],[Column2]]="","",Table1[[#This Row],[Column2]]+C$1-1)</f>
        <v/>
      </c>
      <c r="E148" s="236"/>
      <c r="F148" s="234"/>
      <c r="G148" s="234" t="str">
        <f ca="1">IF(Table1[[#This Row],[h_No. Invoice :]]="","",CONCATENATE("AM"," ",Table1[[#This Row],[h_No. Invoice :]]))</f>
        <v/>
      </c>
      <c r="H148" s="234" t="str">
        <f>IF(Table1[[#This Row],[Column5]]="","",INDEX(Table2[Column1],MATCH(Table1[[#This Row],[Column5]],Table2[a],0)))</f>
        <v/>
      </c>
      <c r="I148" s="234" t="str">
        <f>IF(Table1[[#This Row],[Column3]]=0,"",CONCATENATE(UPPER(Table1[[#This Row],[Column3]])," ",Table1[[#This Row],[Column4]]))</f>
        <v xml:space="preserve"> </v>
      </c>
      <c r="J148" s="234" t="str">
        <f>IF(Table1[[#This Row],[Column5]]="","",INDEX(Table2[e],IF(Table1[[#This Row],[Column5]]="","",MATCH(Table1[[#This Row],[Column5]],Table2[a],0)),))</f>
        <v/>
      </c>
      <c r="K148" s="234"/>
      <c r="L148" s="234"/>
      <c r="O148" s="234" t="str">
        <f>IF(Table1[[#This Row],[h_Item Description]]="","",INDEX([1]!db[NB PAJAK],MATCH(Table1[[#This Row],[h_Item Description]],[1]!db[kode],0)))</f>
        <v/>
      </c>
      <c r="Q148" s="237"/>
      <c r="R148" s="238"/>
      <c r="S148" s="238"/>
      <c r="T148" s="237" t="str">
        <f>Table1[[#This Row],[h_hargasetelahdiskon]]</f>
        <v/>
      </c>
      <c r="V148" s="234"/>
      <c r="W148" s="234" t="str">
        <f ca="1">IF(Table1[[#This Row],[Column12]]="","",IF(Table1[[#This Row],[//]]="",INDIRECT(ADDRESS(ROW()-1,COLUMN())),Table1[[#This Row],[//]]))</f>
        <v/>
      </c>
      <c r="X148" s="234" t="str">
        <f ca="1">IF(Table1[[#This Row],[h_id]]="","",COUNTIF(Table1[h_id],Table1[[#This Row],[h_id]]))</f>
        <v/>
      </c>
      <c r="Y148" s="237" t="str">
        <f>IF(Table1[[#This Row],[Column12]]="","",Table1[[#This Row],[Qty]]*Table1[[#This Row],[Column13]])</f>
        <v/>
      </c>
      <c r="Z148" s="237" t="str">
        <f>IF(Table1[[#This Row],[h_hargasebelumdiskon]]="","",IF(Table1[[#This Row],[Column14]]="",0,Table1[[#This Row],[h_hargasebelumdiskon]]*Table1[[#This Row],[Column14]]))</f>
        <v/>
      </c>
      <c r="AA148" s="237" t="str">
        <f>IF(Table1[[#This Row],[h_hargasebelumdiskon]]="","",IF(Table1[[#This Row],[Column15]]="",0,(Table1[[#This Row],[h_hargasebelumdiskon]]-Table1[[#This Row],[h_disc 1]])*Table1[[#This Row],[Column15]]))</f>
        <v/>
      </c>
      <c r="AB148" s="237" t="str">
        <f>IF(Table1[[#This Row],[Column12]]="","",Table1[[#This Row],[h_disc 1]]+Table1[[#This Row],[h_disc 2]])</f>
        <v/>
      </c>
      <c r="AC148" s="237" t="str">
        <f>IF(Table1[[#This Row],[Column12]]="","",Table1[[#This Row],[h_hargasebelumdiskon]]-Table1[[#This Row],[h_diskon]])</f>
        <v/>
      </c>
      <c r="AD148" s="237" t="str">
        <f ca="1">IF(Table1[[#This Row],[//]]="","",SUMIF(Table1[h_id],Table1[[#This Row],[h_id]],Table1[h_hargasetelahdiskon]))</f>
        <v/>
      </c>
      <c r="AF148" s="237" t="str">
        <f>Table1[[#This Row],[Column12]]&amp;Table1[[#This Row],[Unit]]&amp;Table1[[#This Row],[Column13]]</f>
        <v/>
      </c>
      <c r="AG148"/>
      <c r="AH148"/>
      <c r="AI148"/>
    </row>
    <row r="149" spans="1:35">
      <c r="A149" s="234" t="str">
        <f ca="1">IF(Table1[[#This Row],[No. Invoice :]]="","",ROW())</f>
        <v/>
      </c>
      <c r="B149" s="437" t="str">
        <f ca="1">IF(Table1[[#This Row],[Column3]]="","",B$1+COUNT(INDIRECT("B$2:B"&amp;ROW()-1)))</f>
        <v/>
      </c>
      <c r="C149" s="235" t="str">
        <f>IF(Table1[[#This Row],[Column2]]="","",Table1[[#This Row],[Column2]]+C$1-1)</f>
        <v/>
      </c>
      <c r="D149" s="438"/>
      <c r="E149" s="439"/>
      <c r="F149" s="439"/>
      <c r="G149" s="234" t="str">
        <f ca="1">IF(Table1[[#This Row],[h_No. Invoice :]]="","",CONCATENATE("AM"," ",Table1[[#This Row],[h_No. Invoice :]]))</f>
        <v/>
      </c>
      <c r="H149" s="437" t="str">
        <f>IF(Table1[[#This Row],[Column5]]="","",INDEX(Table2[Column1],MATCH(Table1[[#This Row],[Column5]],Table2[a],0)))</f>
        <v/>
      </c>
      <c r="I149" s="234" t="str">
        <f>IF(Table1[[#This Row],[Column3]]=0,"",CONCATENATE(UPPER(Table1[[#This Row],[Column3]])," ",Table1[[#This Row],[Column4]]))</f>
        <v xml:space="preserve"> </v>
      </c>
      <c r="J149" s="234" t="str">
        <f>IF(Table1[[#This Row],[Column5]]="","",INDEX(Table2[e],IF(Table1[[#This Row],[Column5]]="","",MATCH(Table1[[#This Row],[Column5]],Table2[a],0)),))</f>
        <v/>
      </c>
      <c r="K149" s="234"/>
      <c r="L149" s="234"/>
      <c r="N149" s="437"/>
      <c r="O149" s="437" t="str">
        <f>IF(Table1[[#This Row],[h_Item Description]]="","",INDEX([1]!db[NB PAJAK],MATCH(Table1[[#This Row],[h_Item Description]],[1]!db[kode],0)))</f>
        <v/>
      </c>
      <c r="Q149" s="237"/>
      <c r="R149" s="238"/>
      <c r="S149" s="238"/>
      <c r="T149" s="440" t="str">
        <f>Table1[[#This Row],[h_hargasetelahdiskon]]</f>
        <v/>
      </c>
      <c r="V149" s="234"/>
      <c r="W149" s="234" t="str">
        <f ca="1">IF(Table1[[#This Row],[Column12]]="","",IF(Table1[[#This Row],[//]]="",INDIRECT(ADDRESS(ROW()-1,COLUMN())),Table1[[#This Row],[//]]))</f>
        <v/>
      </c>
      <c r="X149" s="234" t="str">
        <f ca="1">IF(Table1[[#This Row],[h_id]]="","",COUNTIF(Table1[h_id],Table1[[#This Row],[h_id]]))</f>
        <v/>
      </c>
      <c r="Y149" s="237" t="str">
        <f>IF(Table1[[#This Row],[Column12]]="","",Table1[[#This Row],[Qty]]*Table1[[#This Row],[Column13]])</f>
        <v/>
      </c>
      <c r="Z149" s="440" t="str">
        <f>IF(Table1[[#This Row],[h_hargasebelumdiskon]]="","",IF(Table1[[#This Row],[Column14]]="",0,Table1[[#This Row],[h_hargasebelumdiskon]]*Table1[[#This Row],[Column14]]))</f>
        <v/>
      </c>
      <c r="AA149" s="440" t="str">
        <f>IF(Table1[[#This Row],[h_hargasebelumdiskon]]="","",IF(Table1[[#This Row],[Column15]]="",0,(Table1[[#This Row],[h_hargasebelumdiskon]]-Table1[[#This Row],[h_disc 1]])*Table1[[#This Row],[Column15]]))</f>
        <v/>
      </c>
      <c r="AB149" s="237" t="str">
        <f>IF(Table1[[#This Row],[Column12]]="","",Table1[[#This Row],[h_disc 1]]+Table1[[#This Row],[h_disc 2]])</f>
        <v/>
      </c>
      <c r="AC149" s="237" t="str">
        <f>IF(Table1[[#This Row],[Column12]]="","",Table1[[#This Row],[h_hargasebelumdiskon]]-Table1[[#This Row],[h_diskon]])</f>
        <v/>
      </c>
      <c r="AD149" s="237" t="str">
        <f ca="1">IF(Table1[[#This Row],[//]]="","",SUMIF(Table1[h_id],Table1[[#This Row],[h_id]],Table1[h_hargasetelahdiskon]))</f>
        <v/>
      </c>
      <c r="AF149" s="237" t="str">
        <f>Table1[[#This Row],[Column12]]&amp;Table1[[#This Row],[Unit]]&amp;Table1[[#This Row],[Column13]]</f>
        <v/>
      </c>
      <c r="AG149"/>
      <c r="AH149"/>
      <c r="AI149"/>
    </row>
    <row r="150" spans="1:35">
      <c r="A150" s="234">
        <f ca="1">IF(Table1[[#This Row],[No. Invoice :]]="","",ROW())</f>
        <v>150</v>
      </c>
      <c r="B150" s="437">
        <f ca="1">IF(Table1[[#This Row],[Column3]]="","",B$1+COUNT(INDIRECT("B$2:B"&amp;ROW()-1)))</f>
        <v>24050029</v>
      </c>
      <c r="C150" s="235">
        <f>IF(Table1[[#This Row],[Column2]]="","",Table1[[#This Row],[Column2]]+C$1-1)</f>
        <v>45436</v>
      </c>
      <c r="D150" s="438">
        <v>24</v>
      </c>
      <c r="E150" s="236" t="s">
        <v>405</v>
      </c>
      <c r="F150" s="236" t="s">
        <v>71</v>
      </c>
      <c r="G150" s="234" t="str">
        <f ca="1">IF(Table1[[#This Row],[h_No. Invoice :]]="","",CONCATENATE("AM"," ",Table1[[#This Row],[h_No. Invoice :]]))</f>
        <v>AM 24050029</v>
      </c>
      <c r="H150" s="437" t="str">
        <f>IF(Table1[[#This Row],[Column5]]="","",INDEX(Table2[Column1],MATCH(Table1[[#This Row],[Column5]],Table2[a],0)))</f>
        <v>KO</v>
      </c>
      <c r="I150" s="234" t="str">
        <f>IF(Table1[[#This Row],[Column3]]=0,"",CONCATENATE(UPPER(Table1[[#This Row],[Column3]])," ",Table1[[#This Row],[Column4]]))</f>
        <v>KO 4979</v>
      </c>
      <c r="J150" s="234" t="str">
        <f>IF(Table1[[#This Row],[Column5]]="","",INDEX(Table2[e],IF(Table1[[#This Row],[Column5]]="","",MATCH(Table1[[#This Row],[Column5]],Table2[a],0)),))</f>
        <v>CV SINAR CAHAYA NIRMALA BREBES</v>
      </c>
      <c r="K150" s="234">
        <v>36</v>
      </c>
      <c r="L150" s="234" t="s">
        <v>186</v>
      </c>
      <c r="N150" s="234" t="s">
        <v>255</v>
      </c>
      <c r="O150" s="437" t="str">
        <f>IF(Table1[[#This Row],[h_Item Description]]="","",INDEX([1]!db[NB PAJAK],MATCH(Table1[[#This Row],[h_Item Description]],[1]!db[kode],0)))</f>
        <v>CORRECTION FLUID KENKO KE-01</v>
      </c>
      <c r="P150" s="234" t="s">
        <v>257</v>
      </c>
      <c r="Q150" s="237">
        <v>56100</v>
      </c>
      <c r="R150" s="238">
        <v>0.1</v>
      </c>
      <c r="S150" s="238"/>
      <c r="T150" s="440">
        <f>Table1[[#This Row],[h_hargasetelahdiskon]]</f>
        <v>1817640</v>
      </c>
      <c r="U150" s="237" t="s">
        <v>129</v>
      </c>
      <c r="V150" s="234"/>
      <c r="W150" s="234">
        <f ca="1">IF(Table1[[#This Row],[Column12]]="","",IF(Table1[[#This Row],[//]]="",INDIRECT(ADDRESS(ROW()-1,COLUMN())),Table1[[#This Row],[//]]))</f>
        <v>150</v>
      </c>
      <c r="X150" s="234">
        <f ca="1">IF(Table1[[#This Row],[h_id]]="","",COUNTIF(Table1[h_id],Table1[[#This Row],[h_id]]))</f>
        <v>1</v>
      </c>
      <c r="Y150" s="237">
        <f>IF(Table1[[#This Row],[Column12]]="","",Table1[[#This Row],[Qty]]*Table1[[#This Row],[Column13]])</f>
        <v>2019600</v>
      </c>
      <c r="Z150" s="440">
        <f>IF(Table1[[#This Row],[h_hargasebelumdiskon]]="","",IF(Table1[[#This Row],[Column14]]="",0,Table1[[#This Row],[h_hargasebelumdiskon]]*Table1[[#This Row],[Column14]]))</f>
        <v>201960</v>
      </c>
      <c r="AA150" s="440">
        <f>IF(Table1[[#This Row],[h_hargasebelumdiskon]]="","",IF(Table1[[#This Row],[Column15]]="",0,(Table1[[#This Row],[h_hargasebelumdiskon]]-Table1[[#This Row],[h_disc 1]])*Table1[[#This Row],[Column15]]))</f>
        <v>0</v>
      </c>
      <c r="AB150" s="237">
        <f>IF(Table1[[#This Row],[Column12]]="","",Table1[[#This Row],[h_disc 1]]+Table1[[#This Row],[h_disc 2]])</f>
        <v>201960</v>
      </c>
      <c r="AC150" s="237">
        <f>IF(Table1[[#This Row],[Column12]]="","",Table1[[#This Row],[h_hargasebelumdiskon]]-Table1[[#This Row],[h_diskon]])</f>
        <v>1817640</v>
      </c>
      <c r="AD150" s="237">
        <f ca="1">IF(Table1[[#This Row],[//]]="","",SUMIF(Table1[h_id],Table1[[#This Row],[h_id]],Table1[h_hargasetelahdiskon]))</f>
        <v>1817640</v>
      </c>
      <c r="AF150" s="237" t="str">
        <f>Table1[[#This Row],[Column12]]&amp;Table1[[#This Row],[Unit]]&amp;Table1[[#This Row],[Column13]]</f>
        <v>CORRECTION FLUID KENKO KE-01LSN56100</v>
      </c>
      <c r="AG150"/>
      <c r="AH150"/>
      <c r="AI150"/>
    </row>
    <row r="151" spans="1:35">
      <c r="A151" s="234" t="str">
        <f ca="1">IF(Table1[[#This Row],[No. Invoice :]]="","",ROW())</f>
        <v/>
      </c>
      <c r="B151" s="437" t="str">
        <f ca="1">IF(Table1[[#This Row],[Column3]]="","",B$1+COUNT(INDIRECT("B$2:B"&amp;ROW()-1)))</f>
        <v/>
      </c>
      <c r="C151" s="235" t="str">
        <f>IF(Table1[[#This Row],[Column2]]="","",Table1[[#This Row],[Column2]]+C$1-1)</f>
        <v/>
      </c>
      <c r="D151" s="438"/>
      <c r="E151" s="439"/>
      <c r="F151" s="439"/>
      <c r="G151" s="234" t="str">
        <f ca="1">IF(Table1[[#This Row],[h_No. Invoice :]]="","",CONCATENATE("AM"," ",Table1[[#This Row],[h_No. Invoice :]]))</f>
        <v/>
      </c>
      <c r="H151" s="437" t="str">
        <f>IF(Table1[[#This Row],[Column5]]="","",INDEX(Table2[Column1],MATCH(Table1[[#This Row],[Column5]],Table2[a],0)))</f>
        <v/>
      </c>
      <c r="I151" s="234" t="str">
        <f>IF(Table1[[#This Row],[Column3]]=0,"",CONCATENATE(UPPER(Table1[[#This Row],[Column3]])," ",Table1[[#This Row],[Column4]]))</f>
        <v xml:space="preserve"> </v>
      </c>
      <c r="J151" s="234" t="str">
        <f>IF(Table1[[#This Row],[Column5]]="","",INDEX(Table2[e],IF(Table1[[#This Row],[Column5]]="","",MATCH(Table1[[#This Row],[Column5]],Table2[a],0)),))</f>
        <v/>
      </c>
      <c r="K151" s="234"/>
      <c r="L151" s="234"/>
      <c r="N151" s="437"/>
      <c r="O151" s="437" t="str">
        <f>IF(Table1[[#This Row],[h_Item Description]]="","",INDEX([1]!db[NB PAJAK],MATCH(Table1[[#This Row],[h_Item Description]],[1]!db[kode],0)))</f>
        <v/>
      </c>
      <c r="Q151" s="237"/>
      <c r="R151" s="238"/>
      <c r="S151" s="238"/>
      <c r="T151" s="440" t="str">
        <f>Table1[[#This Row],[h_hargasetelahdiskon]]</f>
        <v/>
      </c>
      <c r="V151" s="234"/>
      <c r="W151" s="234" t="str">
        <f ca="1">IF(Table1[[#This Row],[Column12]]="","",IF(Table1[[#This Row],[//]]="",INDIRECT(ADDRESS(ROW()-1,COLUMN())),Table1[[#This Row],[//]]))</f>
        <v/>
      </c>
      <c r="X151" s="234" t="str">
        <f ca="1">IF(Table1[[#This Row],[h_id]]="","",COUNTIF(Table1[h_id],Table1[[#This Row],[h_id]]))</f>
        <v/>
      </c>
      <c r="Y151" s="237" t="str">
        <f>IF(Table1[[#This Row],[Column12]]="","",Table1[[#This Row],[Qty]]*Table1[[#This Row],[Column13]])</f>
        <v/>
      </c>
      <c r="Z151" s="440" t="str">
        <f>IF(Table1[[#This Row],[h_hargasebelumdiskon]]="","",IF(Table1[[#This Row],[Column14]]="",0,Table1[[#This Row],[h_hargasebelumdiskon]]*Table1[[#This Row],[Column14]]))</f>
        <v/>
      </c>
      <c r="AA151" s="440" t="str">
        <f>IF(Table1[[#This Row],[h_hargasebelumdiskon]]="","",IF(Table1[[#This Row],[Column15]]="",0,(Table1[[#This Row],[h_hargasebelumdiskon]]-Table1[[#This Row],[h_disc 1]])*Table1[[#This Row],[Column15]]))</f>
        <v/>
      </c>
      <c r="AB151" s="237" t="str">
        <f>IF(Table1[[#This Row],[Column12]]="","",Table1[[#This Row],[h_disc 1]]+Table1[[#This Row],[h_disc 2]])</f>
        <v/>
      </c>
      <c r="AC151" s="237" t="str">
        <f>IF(Table1[[#This Row],[Column12]]="","",Table1[[#This Row],[h_hargasebelumdiskon]]-Table1[[#This Row],[h_diskon]])</f>
        <v/>
      </c>
      <c r="AD151" s="237" t="str">
        <f ca="1">IF(Table1[[#This Row],[//]]="","",SUMIF(Table1[h_id],Table1[[#This Row],[h_id]],Table1[h_hargasetelahdiskon]))</f>
        <v/>
      </c>
      <c r="AF151" s="237" t="str">
        <f>Table1[[#This Row],[Column12]]&amp;Table1[[#This Row],[Unit]]&amp;Table1[[#This Row],[Column13]]</f>
        <v/>
      </c>
      <c r="AG151"/>
      <c r="AH151"/>
      <c r="AI151"/>
    </row>
    <row r="152" spans="1:35">
      <c r="A152" s="234">
        <f ca="1">IF(Table1[[#This Row],[No. Invoice :]]="","",ROW())</f>
        <v>152</v>
      </c>
      <c r="B152" s="437">
        <f ca="1">IF(Table1[[#This Row],[Column3]]="","",B$1+COUNT(INDIRECT("B$2:B"&amp;ROW()-1)))</f>
        <v>24050030</v>
      </c>
      <c r="C152" s="235">
        <f>IF(Table1[[#This Row],[Column2]]="","",Table1[[#This Row],[Column2]]+C$1-1)</f>
        <v>45436</v>
      </c>
      <c r="D152" s="438">
        <v>24</v>
      </c>
      <c r="E152" s="236" t="s">
        <v>406</v>
      </c>
      <c r="F152" s="236" t="s">
        <v>89</v>
      </c>
      <c r="G152" s="234" t="str">
        <f ca="1">IF(Table1[[#This Row],[h_No. Invoice :]]="","",CONCATENATE("AM"," ",Table1[[#This Row],[h_No. Invoice :]]))</f>
        <v>AM 24050030</v>
      </c>
      <c r="H152" s="437" t="str">
        <f>IF(Table1[[#This Row],[Column5]]="","",INDEX(Table2[Column1],MATCH(Table1[[#This Row],[Column5]],Table2[a],0)))</f>
        <v>G</v>
      </c>
      <c r="I152" s="234" t="str">
        <f>IF(Table1[[#This Row],[Column3]]=0,"",CONCATENATE(UPPER(Table1[[#This Row],[Column3]])," ",Table1[[#This Row],[Column4]]))</f>
        <v>G 4970</v>
      </c>
      <c r="J152" s="234" t="str">
        <f>IF(Table1[[#This Row],[Column5]]="","",INDEX(Table2[e],IF(Table1[[#This Row],[Column5]]="","",MATCH(Table1[[#This Row],[Column5]],Table2[a],0)),))</f>
        <v>LILY JULIAWATI (REJO AGUNG) JOMBANG</v>
      </c>
      <c r="K152" s="234">
        <v>72</v>
      </c>
      <c r="L152" s="234" t="s">
        <v>197</v>
      </c>
      <c r="M152" s="234">
        <v>1</v>
      </c>
      <c r="N152" s="234" t="s">
        <v>407</v>
      </c>
      <c r="O152" s="437" t="str">
        <f>IF(Table1[[#This Row],[h_Item Description]]="","",INDEX([1]!db[NB PAJAK],MATCH(Table1[[#This Row],[h_Item Description]],[1]!db[kode],0)))</f>
        <v>BINDER NOTE JOYKO B5-TSFC-M132 (FACULTY) - U</v>
      </c>
      <c r="P152" s="234" t="s">
        <v>414</v>
      </c>
      <c r="Q152" s="237">
        <v>20400</v>
      </c>
      <c r="R152" s="238">
        <v>0.125</v>
      </c>
      <c r="S152" s="238"/>
      <c r="T152" s="440">
        <f>Table1[[#This Row],[h_hargasetelahdiskon]]</f>
        <v>1285200</v>
      </c>
      <c r="U152" s="237" t="s">
        <v>129</v>
      </c>
      <c r="V152" s="234"/>
      <c r="W152" s="234">
        <f ca="1">IF(Table1[[#This Row],[Column12]]="","",IF(Table1[[#This Row],[//]]="",INDIRECT(ADDRESS(ROW()-1,COLUMN())),Table1[[#This Row],[//]]))</f>
        <v>152</v>
      </c>
      <c r="X152" s="234">
        <f ca="1">IF(Table1[[#This Row],[h_id]]="","",COUNTIF(Table1[h_id],Table1[[#This Row],[h_id]]))</f>
        <v>8</v>
      </c>
      <c r="Y152" s="237">
        <f>IF(Table1[[#This Row],[Column12]]="","",Table1[[#This Row],[Qty]]*Table1[[#This Row],[Column13]])</f>
        <v>1468800</v>
      </c>
      <c r="Z152" s="440">
        <f>IF(Table1[[#This Row],[h_hargasebelumdiskon]]="","",IF(Table1[[#This Row],[Column14]]="",0,Table1[[#This Row],[h_hargasebelumdiskon]]*Table1[[#This Row],[Column14]]))</f>
        <v>183600</v>
      </c>
      <c r="AA152" s="440">
        <f>IF(Table1[[#This Row],[h_hargasebelumdiskon]]="","",IF(Table1[[#This Row],[Column15]]="",0,(Table1[[#This Row],[h_hargasebelumdiskon]]-Table1[[#This Row],[h_disc 1]])*Table1[[#This Row],[Column15]]))</f>
        <v>0</v>
      </c>
      <c r="AB152" s="237">
        <f>IF(Table1[[#This Row],[Column12]]="","",Table1[[#This Row],[h_disc 1]]+Table1[[#This Row],[h_disc 2]])</f>
        <v>183600</v>
      </c>
      <c r="AC152" s="237">
        <f>IF(Table1[[#This Row],[Column12]]="","",Table1[[#This Row],[h_hargasebelumdiskon]]-Table1[[#This Row],[h_diskon]])</f>
        <v>1285200</v>
      </c>
      <c r="AD152" s="237">
        <f ca="1">IF(Table1[[#This Row],[//]]="","",SUMIF(Table1[h_id],Table1[[#This Row],[h_id]],Table1[h_hargasetelahdiskon]))</f>
        <v>14500800</v>
      </c>
      <c r="AF152" s="237" t="str">
        <f>Table1[[#This Row],[Column12]]&amp;Table1[[#This Row],[Unit]]&amp;Table1[[#This Row],[Column13]]</f>
        <v>BINDER NOTE JOYKO B5-TSFC-M132 (FACULTY) - UPCS20400</v>
      </c>
      <c r="AG152"/>
      <c r="AH152"/>
      <c r="AI152"/>
    </row>
    <row r="153" spans="1:35">
      <c r="A153" s="234" t="str">
        <f ca="1">IF(Table1[[#This Row],[No. Invoice :]]="","",ROW())</f>
        <v/>
      </c>
      <c r="B153" s="437" t="str">
        <f ca="1">IF(Table1[[#This Row],[Column3]]="","",B$1+COUNT(INDIRECT("B$2:B"&amp;ROW()-1)))</f>
        <v/>
      </c>
      <c r="C153" s="235" t="str">
        <f>IF(Table1[[#This Row],[Column2]]="","",Table1[[#This Row],[Column2]]+C$1-1)</f>
        <v/>
      </c>
      <c r="D153" s="438"/>
      <c r="E153" s="439"/>
      <c r="F153" s="439"/>
      <c r="G153" s="234" t="str">
        <f ca="1">IF(Table1[[#This Row],[h_No. Invoice :]]="","",CONCATENATE("AM"," ",Table1[[#This Row],[h_No. Invoice :]]))</f>
        <v/>
      </c>
      <c r="H153" s="437" t="str">
        <f>IF(Table1[[#This Row],[Column5]]="","",INDEX(Table2[Column1],MATCH(Table1[[#This Row],[Column5]],Table2[a],0)))</f>
        <v/>
      </c>
      <c r="I153" s="234" t="str">
        <f>IF(Table1[[#This Row],[Column3]]=0,"",CONCATENATE(UPPER(Table1[[#This Row],[Column3]])," ",Table1[[#This Row],[Column4]]))</f>
        <v xml:space="preserve"> </v>
      </c>
      <c r="J153" s="234" t="str">
        <f>IF(Table1[[#This Row],[Column5]]="","",INDEX(Table2[e],IF(Table1[[#This Row],[Column5]]="","",MATCH(Table1[[#This Row],[Column5]],Table2[a],0)),))</f>
        <v/>
      </c>
      <c r="K153" s="234">
        <v>72</v>
      </c>
      <c r="L153" s="234" t="s">
        <v>197</v>
      </c>
      <c r="M153" s="234">
        <v>1</v>
      </c>
      <c r="N153" s="234" t="s">
        <v>410</v>
      </c>
      <c r="O153" s="437" t="str">
        <f>IF(Table1[[#This Row],[h_Item Description]]="","",INDEX([1]!db[NB PAJAK],MATCH(Table1[[#This Row],[h_Item Description]],[1]!db[kode],0)))</f>
        <v>BINDER NOTE JOYKO B5-TSIM-M114 (IMAGE) - U</v>
      </c>
      <c r="P153" s="234" t="s">
        <v>415</v>
      </c>
      <c r="Q153" s="237">
        <v>20400</v>
      </c>
      <c r="R153" s="238">
        <v>0.125</v>
      </c>
      <c r="S153" s="238"/>
      <c r="T153" s="440">
        <f>Table1[[#This Row],[h_hargasetelahdiskon]]</f>
        <v>1285200</v>
      </c>
      <c r="V153" s="234"/>
      <c r="W153" s="234">
        <f ca="1">IF(Table1[[#This Row],[Column12]]="","",IF(Table1[[#This Row],[//]]="",INDIRECT(ADDRESS(ROW()-1,COLUMN())),Table1[[#This Row],[//]]))</f>
        <v>152</v>
      </c>
      <c r="X153" s="234">
        <f ca="1">IF(Table1[[#This Row],[h_id]]="","",COUNTIF(Table1[h_id],Table1[[#This Row],[h_id]]))</f>
        <v>8</v>
      </c>
      <c r="Y153" s="237">
        <f>IF(Table1[[#This Row],[Column12]]="","",Table1[[#This Row],[Qty]]*Table1[[#This Row],[Column13]])</f>
        <v>1468800</v>
      </c>
      <c r="Z153" s="440">
        <f>IF(Table1[[#This Row],[h_hargasebelumdiskon]]="","",IF(Table1[[#This Row],[Column14]]="",0,Table1[[#This Row],[h_hargasebelumdiskon]]*Table1[[#This Row],[Column14]]))</f>
        <v>183600</v>
      </c>
      <c r="AA153" s="440">
        <f>IF(Table1[[#This Row],[h_hargasebelumdiskon]]="","",IF(Table1[[#This Row],[Column15]]="",0,(Table1[[#This Row],[h_hargasebelumdiskon]]-Table1[[#This Row],[h_disc 1]])*Table1[[#This Row],[Column15]]))</f>
        <v>0</v>
      </c>
      <c r="AB153" s="237">
        <f>IF(Table1[[#This Row],[Column12]]="","",Table1[[#This Row],[h_disc 1]]+Table1[[#This Row],[h_disc 2]])</f>
        <v>183600</v>
      </c>
      <c r="AC153" s="237">
        <f>IF(Table1[[#This Row],[Column12]]="","",Table1[[#This Row],[h_hargasebelumdiskon]]-Table1[[#This Row],[h_diskon]])</f>
        <v>1285200</v>
      </c>
      <c r="AD153" s="237" t="str">
        <f ca="1">IF(Table1[[#This Row],[//]]="","",SUMIF(Table1[h_id],Table1[[#This Row],[h_id]],Table1[h_hargasetelahdiskon]))</f>
        <v/>
      </c>
      <c r="AF153" s="237" t="str">
        <f>Table1[[#This Row],[Column12]]&amp;Table1[[#This Row],[Unit]]&amp;Table1[[#This Row],[Column13]]</f>
        <v>BINDER NOTE JOYKO B5-TSIM-M114 (IMAGE) - UPCS20400</v>
      </c>
      <c r="AG153"/>
      <c r="AH153"/>
      <c r="AI153"/>
    </row>
    <row r="154" spans="1:35">
      <c r="A154" s="234" t="str">
        <f ca="1">IF(Table1[[#This Row],[No. Invoice :]]="","",ROW())</f>
        <v/>
      </c>
      <c r="B154" s="437" t="str">
        <f ca="1">IF(Table1[[#This Row],[Column3]]="","",B$1+COUNT(INDIRECT("B$2:B"&amp;ROW()-1)))</f>
        <v/>
      </c>
      <c r="C154" s="235" t="str">
        <f>IF(Table1[[#This Row],[Column2]]="","",Table1[[#This Row],[Column2]]+C$1-1)</f>
        <v/>
      </c>
      <c r="D154" s="438"/>
      <c r="E154" s="439"/>
      <c r="F154" s="439"/>
      <c r="G154" s="234" t="str">
        <f ca="1">IF(Table1[[#This Row],[h_No. Invoice :]]="","",CONCATENATE("AM"," ",Table1[[#This Row],[h_No. Invoice :]]))</f>
        <v/>
      </c>
      <c r="H154" s="437" t="str">
        <f>IF(Table1[[#This Row],[Column5]]="","",INDEX(Table2[Column1],MATCH(Table1[[#This Row],[Column5]],Table2[a],0)))</f>
        <v/>
      </c>
      <c r="I154" s="234" t="str">
        <f>IF(Table1[[#This Row],[Column3]]=0,"",CONCATENATE(UPPER(Table1[[#This Row],[Column3]])," ",Table1[[#This Row],[Column4]]))</f>
        <v xml:space="preserve"> </v>
      </c>
      <c r="J154" s="234" t="str">
        <f>IF(Table1[[#This Row],[Column5]]="","",INDEX(Table2[e],IF(Table1[[#This Row],[Column5]]="","",MATCH(Table1[[#This Row],[Column5]],Table2[a],0)),))</f>
        <v/>
      </c>
      <c r="K154" s="234">
        <v>72</v>
      </c>
      <c r="L154" s="234" t="s">
        <v>197</v>
      </c>
      <c r="M154" s="234">
        <v>1</v>
      </c>
      <c r="N154" s="424" t="s">
        <v>411</v>
      </c>
      <c r="O154" s="437" t="str">
        <f>IF(Table1[[#This Row],[h_Item Description]]="","",INDEX([1]!db[NB PAJAK],MATCH(Table1[[#This Row],[h_Item Description]],[1]!db[kode],0)))</f>
        <v>BINDER NOTE JOYKO B5-TSAC-M129 (ACADEMY)  - U</v>
      </c>
      <c r="P154" s="234" t="s">
        <v>416</v>
      </c>
      <c r="Q154" s="237">
        <v>20400</v>
      </c>
      <c r="R154" s="238">
        <v>0.125</v>
      </c>
      <c r="S154" s="238"/>
      <c r="T154" s="440">
        <f>Table1[[#This Row],[h_hargasetelahdiskon]]</f>
        <v>1285200</v>
      </c>
      <c r="V154" s="234"/>
      <c r="W154" s="234">
        <f ca="1">IF(Table1[[#This Row],[Column12]]="","",IF(Table1[[#This Row],[//]]="",INDIRECT(ADDRESS(ROW()-1,COLUMN())),Table1[[#This Row],[//]]))</f>
        <v>152</v>
      </c>
      <c r="X154" s="234">
        <f ca="1">IF(Table1[[#This Row],[h_id]]="","",COUNTIF(Table1[h_id],Table1[[#This Row],[h_id]]))</f>
        <v>8</v>
      </c>
      <c r="Y154" s="237">
        <f>IF(Table1[[#This Row],[Column12]]="","",Table1[[#This Row],[Qty]]*Table1[[#This Row],[Column13]])</f>
        <v>1468800</v>
      </c>
      <c r="Z154" s="440">
        <f>IF(Table1[[#This Row],[h_hargasebelumdiskon]]="","",IF(Table1[[#This Row],[Column14]]="",0,Table1[[#This Row],[h_hargasebelumdiskon]]*Table1[[#This Row],[Column14]]))</f>
        <v>183600</v>
      </c>
      <c r="AA154" s="440">
        <f>IF(Table1[[#This Row],[h_hargasebelumdiskon]]="","",IF(Table1[[#This Row],[Column15]]="",0,(Table1[[#This Row],[h_hargasebelumdiskon]]-Table1[[#This Row],[h_disc 1]])*Table1[[#This Row],[Column15]]))</f>
        <v>0</v>
      </c>
      <c r="AB154" s="237">
        <f>IF(Table1[[#This Row],[Column12]]="","",Table1[[#This Row],[h_disc 1]]+Table1[[#This Row],[h_disc 2]])</f>
        <v>183600</v>
      </c>
      <c r="AC154" s="237">
        <f>IF(Table1[[#This Row],[Column12]]="","",Table1[[#This Row],[h_hargasebelumdiskon]]-Table1[[#This Row],[h_diskon]])</f>
        <v>1285200</v>
      </c>
      <c r="AD154" s="237" t="str">
        <f ca="1">IF(Table1[[#This Row],[//]]="","",SUMIF(Table1[h_id],Table1[[#This Row],[h_id]],Table1[h_hargasetelahdiskon]))</f>
        <v/>
      </c>
      <c r="AF154" s="237" t="str">
        <f>Table1[[#This Row],[Column12]]&amp;Table1[[#This Row],[Unit]]&amp;Table1[[#This Row],[Column13]]</f>
        <v>BINDER NOTE JOYKO B5-TSAC-M129 (ACADEMY)  - UPCS20400</v>
      </c>
      <c r="AG154"/>
      <c r="AH154"/>
      <c r="AI154"/>
    </row>
    <row r="155" spans="1:35">
      <c r="A155" s="234" t="str">
        <f ca="1">IF(Table1[[#This Row],[No. Invoice :]]="","",ROW())</f>
        <v/>
      </c>
      <c r="B155" s="437" t="str">
        <f ca="1">IF(Table1[[#This Row],[Column3]]="","",B$1+COUNT(INDIRECT("B$2:B"&amp;ROW()-1)))</f>
        <v/>
      </c>
      <c r="C155" s="235" t="str">
        <f>IF(Table1[[#This Row],[Column2]]="","",Table1[[#This Row],[Column2]]+C$1-1)</f>
        <v/>
      </c>
      <c r="D155" s="438"/>
      <c r="E155" s="439"/>
      <c r="F155" s="439"/>
      <c r="G155" s="234" t="str">
        <f ca="1">IF(Table1[[#This Row],[h_No. Invoice :]]="","",CONCATENATE("AM"," ",Table1[[#This Row],[h_No. Invoice :]]))</f>
        <v/>
      </c>
      <c r="H155" s="437" t="str">
        <f>IF(Table1[[#This Row],[Column5]]="","",INDEX(Table2[Column1],MATCH(Table1[[#This Row],[Column5]],Table2[a],0)))</f>
        <v/>
      </c>
      <c r="I155" s="234" t="str">
        <f>IF(Table1[[#This Row],[Column3]]=0,"",CONCATENATE(UPPER(Table1[[#This Row],[Column3]])," ",Table1[[#This Row],[Column4]]))</f>
        <v xml:space="preserve"> </v>
      </c>
      <c r="J155" s="234" t="str">
        <f>IF(Table1[[#This Row],[Column5]]="","",INDEX(Table2[e],IF(Table1[[#This Row],[Column5]]="","",MATCH(Table1[[#This Row],[Column5]],Table2[a],0)),))</f>
        <v/>
      </c>
      <c r="K155" s="234">
        <v>72</v>
      </c>
      <c r="L155" s="234" t="s">
        <v>197</v>
      </c>
      <c r="M155" s="234">
        <v>1</v>
      </c>
      <c r="N155" s="234" t="s">
        <v>412</v>
      </c>
      <c r="O155" s="437" t="str">
        <f>IF(Table1[[#This Row],[h_Item Description]]="","",INDEX([1]!db[NB PAJAK],MATCH(Table1[[#This Row],[h_Item Description]],[1]!db[kode],0)))</f>
        <v>BINDER NOTE JOYKO B5-TSKD-142 (KINDNESS) - U</v>
      </c>
      <c r="P155" s="234" t="s">
        <v>417</v>
      </c>
      <c r="Q155" s="237">
        <v>20400</v>
      </c>
      <c r="R155" s="238">
        <v>0.125</v>
      </c>
      <c r="S155" s="238"/>
      <c r="T155" s="440">
        <f>Table1[[#This Row],[h_hargasetelahdiskon]]</f>
        <v>1285200</v>
      </c>
      <c r="V155" s="234"/>
      <c r="W155" s="234">
        <f ca="1">IF(Table1[[#This Row],[Column12]]="","",IF(Table1[[#This Row],[//]]="",INDIRECT(ADDRESS(ROW()-1,COLUMN())),Table1[[#This Row],[//]]))</f>
        <v>152</v>
      </c>
      <c r="X155" s="234">
        <f ca="1">IF(Table1[[#This Row],[h_id]]="","",COUNTIF(Table1[h_id],Table1[[#This Row],[h_id]]))</f>
        <v>8</v>
      </c>
      <c r="Y155" s="237">
        <f>IF(Table1[[#This Row],[Column12]]="","",Table1[[#This Row],[Qty]]*Table1[[#This Row],[Column13]])</f>
        <v>1468800</v>
      </c>
      <c r="Z155" s="440">
        <f>IF(Table1[[#This Row],[h_hargasebelumdiskon]]="","",IF(Table1[[#This Row],[Column14]]="",0,Table1[[#This Row],[h_hargasebelumdiskon]]*Table1[[#This Row],[Column14]]))</f>
        <v>183600</v>
      </c>
      <c r="AA155" s="440">
        <f>IF(Table1[[#This Row],[h_hargasebelumdiskon]]="","",IF(Table1[[#This Row],[Column15]]="",0,(Table1[[#This Row],[h_hargasebelumdiskon]]-Table1[[#This Row],[h_disc 1]])*Table1[[#This Row],[Column15]]))</f>
        <v>0</v>
      </c>
      <c r="AB155" s="237">
        <f>IF(Table1[[#This Row],[Column12]]="","",Table1[[#This Row],[h_disc 1]]+Table1[[#This Row],[h_disc 2]])</f>
        <v>183600</v>
      </c>
      <c r="AC155" s="237">
        <f>IF(Table1[[#This Row],[Column12]]="","",Table1[[#This Row],[h_hargasebelumdiskon]]-Table1[[#This Row],[h_diskon]])</f>
        <v>1285200</v>
      </c>
      <c r="AD155" s="237" t="str">
        <f ca="1">IF(Table1[[#This Row],[//]]="","",SUMIF(Table1[h_id],Table1[[#This Row],[h_id]],Table1[h_hargasetelahdiskon]))</f>
        <v/>
      </c>
      <c r="AF155" s="237" t="str">
        <f>Table1[[#This Row],[Column12]]&amp;Table1[[#This Row],[Unit]]&amp;Table1[[#This Row],[Column13]]</f>
        <v>BINDER NOTE JOYKO B5-TSKD-142 (KINDNESS) - UPCS20400</v>
      </c>
      <c r="AG155"/>
      <c r="AH155"/>
      <c r="AI155"/>
    </row>
    <row r="156" spans="1:35">
      <c r="A156" s="234" t="str">
        <f ca="1">IF(Table1[[#This Row],[No. Invoice :]]="","",ROW())</f>
        <v/>
      </c>
      <c r="B156" s="437" t="str">
        <f ca="1">IF(Table1[[#This Row],[Column3]]="","",B$1+COUNT(INDIRECT("B$2:B"&amp;ROW()-1)))</f>
        <v/>
      </c>
      <c r="C156" s="235" t="str">
        <f>IF(Table1[[#This Row],[Column2]]="","",Table1[[#This Row],[Column2]]+C$1-1)</f>
        <v/>
      </c>
      <c r="D156" s="438"/>
      <c r="E156" s="439"/>
      <c r="F156" s="439"/>
      <c r="G156" s="234" t="str">
        <f ca="1">IF(Table1[[#This Row],[h_No. Invoice :]]="","",CONCATENATE("AM"," ",Table1[[#This Row],[h_No. Invoice :]]))</f>
        <v/>
      </c>
      <c r="H156" s="437" t="str">
        <f>IF(Table1[[#This Row],[Column5]]="","",INDEX(Table2[Column1],MATCH(Table1[[#This Row],[Column5]],Table2[a],0)))</f>
        <v/>
      </c>
      <c r="I156" s="234" t="str">
        <f>IF(Table1[[#This Row],[Column3]]=0,"",CONCATENATE(UPPER(Table1[[#This Row],[Column3]])," ",Table1[[#This Row],[Column4]]))</f>
        <v xml:space="preserve"> </v>
      </c>
      <c r="J156" s="234" t="str">
        <f>IF(Table1[[#This Row],[Column5]]="","",INDEX(Table2[e],IF(Table1[[#This Row],[Column5]]="","",MATCH(Table1[[#This Row],[Column5]],Table2[a],0)),))</f>
        <v/>
      </c>
      <c r="K156" s="234">
        <v>72</v>
      </c>
      <c r="L156" s="234" t="s">
        <v>197</v>
      </c>
      <c r="M156" s="234">
        <v>1</v>
      </c>
      <c r="N156" s="234" t="s">
        <v>413</v>
      </c>
      <c r="O156" s="437" t="str">
        <f>IF(Table1[[#This Row],[h_Item Description]]="","",INDEX([1]!db[NB PAJAK],MATCH(Table1[[#This Row],[h_Item Description]],[1]!db[kode],0)))</f>
        <v>BINDER NOTE JOYKO B5-TSAT-145 -U</v>
      </c>
      <c r="P156" s="234" t="s">
        <v>418</v>
      </c>
      <c r="Q156" s="237">
        <v>20400</v>
      </c>
      <c r="R156" s="238">
        <v>0.125</v>
      </c>
      <c r="S156" s="238"/>
      <c r="T156" s="440">
        <f>Table1[[#This Row],[h_hargasetelahdiskon]]</f>
        <v>1285200</v>
      </c>
      <c r="V156" s="234"/>
      <c r="W156" s="234">
        <f ca="1">IF(Table1[[#This Row],[Column12]]="","",IF(Table1[[#This Row],[//]]="",INDIRECT(ADDRESS(ROW()-1,COLUMN())),Table1[[#This Row],[//]]))</f>
        <v>152</v>
      </c>
      <c r="X156" s="234">
        <f ca="1">IF(Table1[[#This Row],[h_id]]="","",COUNTIF(Table1[h_id],Table1[[#This Row],[h_id]]))</f>
        <v>8</v>
      </c>
      <c r="Y156" s="237">
        <f>IF(Table1[[#This Row],[Column12]]="","",Table1[[#This Row],[Qty]]*Table1[[#This Row],[Column13]])</f>
        <v>1468800</v>
      </c>
      <c r="Z156" s="440">
        <f>IF(Table1[[#This Row],[h_hargasebelumdiskon]]="","",IF(Table1[[#This Row],[Column14]]="",0,Table1[[#This Row],[h_hargasebelumdiskon]]*Table1[[#This Row],[Column14]]))</f>
        <v>183600</v>
      </c>
      <c r="AA156" s="440">
        <f>IF(Table1[[#This Row],[h_hargasebelumdiskon]]="","",IF(Table1[[#This Row],[Column15]]="",0,(Table1[[#This Row],[h_hargasebelumdiskon]]-Table1[[#This Row],[h_disc 1]])*Table1[[#This Row],[Column15]]))</f>
        <v>0</v>
      </c>
      <c r="AB156" s="237">
        <f>IF(Table1[[#This Row],[Column12]]="","",Table1[[#This Row],[h_disc 1]]+Table1[[#This Row],[h_disc 2]])</f>
        <v>183600</v>
      </c>
      <c r="AC156" s="237">
        <f>IF(Table1[[#This Row],[Column12]]="","",Table1[[#This Row],[h_hargasebelumdiskon]]-Table1[[#This Row],[h_diskon]])</f>
        <v>1285200</v>
      </c>
      <c r="AD156" s="237" t="str">
        <f ca="1">IF(Table1[[#This Row],[//]]="","",SUMIF(Table1[h_id],Table1[[#This Row],[h_id]],Table1[h_hargasetelahdiskon]))</f>
        <v/>
      </c>
      <c r="AF156" s="237" t="str">
        <f>Table1[[#This Row],[Column12]]&amp;Table1[[#This Row],[Unit]]&amp;Table1[[#This Row],[Column13]]</f>
        <v>BINDER NOTE JOYKO B5-TSAT-145 -UPCS20400</v>
      </c>
      <c r="AG156"/>
      <c r="AH156"/>
      <c r="AI156"/>
    </row>
    <row r="157" spans="1:35">
      <c r="A157" s="234" t="str">
        <f ca="1">IF(Table1[[#This Row],[No. Invoice :]]="","",ROW())</f>
        <v/>
      </c>
      <c r="B157" s="437" t="str">
        <f ca="1">IF(Table1[[#This Row],[Column3]]="","",B$1+COUNT(INDIRECT("B$2:B"&amp;ROW()-1)))</f>
        <v/>
      </c>
      <c r="C157" s="235" t="str">
        <f>IF(Table1[[#This Row],[Column2]]="","",Table1[[#This Row],[Column2]]+C$1-1)</f>
        <v/>
      </c>
      <c r="D157" s="438"/>
      <c r="E157" s="439"/>
      <c r="F157" s="439"/>
      <c r="G157" s="234" t="str">
        <f ca="1">IF(Table1[[#This Row],[h_No. Invoice :]]="","",CONCATENATE("AM"," ",Table1[[#This Row],[h_No. Invoice :]]))</f>
        <v/>
      </c>
      <c r="H157" s="437" t="str">
        <f>IF(Table1[[#This Row],[Column5]]="","",INDEX(Table2[Column1],MATCH(Table1[[#This Row],[Column5]],Table2[a],0)))</f>
        <v/>
      </c>
      <c r="I157" s="234" t="str">
        <f>IF(Table1[[#This Row],[Column3]]=0,"",CONCATENATE(UPPER(Table1[[#This Row],[Column3]])," ",Table1[[#This Row],[Column4]]))</f>
        <v xml:space="preserve"> </v>
      </c>
      <c r="J157" s="234" t="str">
        <f>IF(Table1[[#This Row],[Column5]]="","",INDEX(Table2[e],IF(Table1[[#This Row],[Column5]]="","",MATCH(Table1[[#This Row],[Column5]],Table2[a],0)),))</f>
        <v/>
      </c>
      <c r="K157" s="234">
        <v>96</v>
      </c>
      <c r="L157" s="234" t="s">
        <v>186</v>
      </c>
      <c r="M157" s="234">
        <v>1</v>
      </c>
      <c r="N157" s="234" t="s">
        <v>408</v>
      </c>
      <c r="O157" s="437" t="str">
        <f>IF(Table1[[#This Row],[h_Item Description]]="","",INDEX([1]!db[NB PAJAK],MATCH(Table1[[#This Row],[h_Item Description]],[1]!db[kode],0)))</f>
        <v>GEL PEN TIZO 1.0 MM TG-340BI BIRU</v>
      </c>
      <c r="P157" s="234" t="s">
        <v>419</v>
      </c>
      <c r="Q157" s="237">
        <v>33000</v>
      </c>
      <c r="R157" s="238"/>
      <c r="S157" s="238"/>
      <c r="T157" s="440">
        <f>Table1[[#This Row],[h_hargasetelahdiskon]]</f>
        <v>3168000</v>
      </c>
      <c r="V157" s="234"/>
      <c r="W157" s="234">
        <f ca="1">IF(Table1[[#This Row],[Column12]]="","",IF(Table1[[#This Row],[//]]="",INDIRECT(ADDRESS(ROW()-1,COLUMN())),Table1[[#This Row],[//]]))</f>
        <v>152</v>
      </c>
      <c r="X157" s="234">
        <f ca="1">IF(Table1[[#This Row],[h_id]]="","",COUNTIF(Table1[h_id],Table1[[#This Row],[h_id]]))</f>
        <v>8</v>
      </c>
      <c r="Y157" s="237">
        <f>IF(Table1[[#This Row],[Column12]]="","",Table1[[#This Row],[Qty]]*Table1[[#This Row],[Column13]])</f>
        <v>3168000</v>
      </c>
      <c r="Z157" s="440">
        <f>IF(Table1[[#This Row],[h_hargasebelumdiskon]]="","",IF(Table1[[#This Row],[Column14]]="",0,Table1[[#This Row],[h_hargasebelumdiskon]]*Table1[[#This Row],[Column14]]))</f>
        <v>0</v>
      </c>
      <c r="AA157" s="440">
        <f>IF(Table1[[#This Row],[h_hargasebelumdiskon]]="","",IF(Table1[[#This Row],[Column15]]="",0,(Table1[[#This Row],[h_hargasebelumdiskon]]-Table1[[#This Row],[h_disc 1]])*Table1[[#This Row],[Column15]]))</f>
        <v>0</v>
      </c>
      <c r="AB157" s="237">
        <f>IF(Table1[[#This Row],[Column12]]="","",Table1[[#This Row],[h_disc 1]]+Table1[[#This Row],[h_disc 2]])</f>
        <v>0</v>
      </c>
      <c r="AC157" s="237">
        <f>IF(Table1[[#This Row],[Column12]]="","",Table1[[#This Row],[h_hargasebelumdiskon]]-Table1[[#This Row],[h_diskon]])</f>
        <v>3168000</v>
      </c>
      <c r="AD157" s="237" t="str">
        <f ca="1">IF(Table1[[#This Row],[//]]="","",SUMIF(Table1[h_id],Table1[[#This Row],[h_id]],Table1[h_hargasetelahdiskon]))</f>
        <v/>
      </c>
      <c r="AF157" s="237" t="str">
        <f>Table1[[#This Row],[Column12]]&amp;Table1[[#This Row],[Unit]]&amp;Table1[[#This Row],[Column13]]</f>
        <v>GEL PEN TIZO 1.0 MM TG-340BI BIRULSN33000</v>
      </c>
      <c r="AG157"/>
      <c r="AH157"/>
      <c r="AI157"/>
    </row>
    <row r="158" spans="1:35">
      <c r="A158" s="234" t="str">
        <f ca="1">IF(Table1[[#This Row],[No. Invoice :]]="","",ROW())</f>
        <v/>
      </c>
      <c r="B158" s="437" t="str">
        <f ca="1">IF(Table1[[#This Row],[Column3]]="","",B$1+COUNT(INDIRECT("B$2:B"&amp;ROW()-1)))</f>
        <v/>
      </c>
      <c r="C158" s="235" t="str">
        <f>IF(Table1[[#This Row],[Column2]]="","",Table1[[#This Row],[Column2]]+C$1-1)</f>
        <v/>
      </c>
      <c r="D158" s="438"/>
      <c r="E158" s="439"/>
      <c r="F158" s="439"/>
      <c r="G158" s="234" t="str">
        <f ca="1">IF(Table1[[#This Row],[h_No. Invoice :]]="","",CONCATENATE("AM"," ",Table1[[#This Row],[h_No. Invoice :]]))</f>
        <v/>
      </c>
      <c r="H158" s="437" t="str">
        <f>IF(Table1[[#This Row],[Column5]]="","",INDEX(Table2[Column1],MATCH(Table1[[#This Row],[Column5]],Table2[a],0)))</f>
        <v/>
      </c>
      <c r="I158" s="234" t="str">
        <f>IF(Table1[[#This Row],[Column3]]=0,"",CONCATENATE(UPPER(Table1[[#This Row],[Column3]])," ",Table1[[#This Row],[Column4]]))</f>
        <v xml:space="preserve"> </v>
      </c>
      <c r="J158" s="234" t="str">
        <f>IF(Table1[[#This Row],[Column5]]="","",INDEX(Table2[e],IF(Table1[[#This Row],[Column5]]="","",MATCH(Table1[[#This Row],[Column5]],Table2[a],0)),))</f>
        <v/>
      </c>
      <c r="K158" s="234">
        <v>48</v>
      </c>
      <c r="L158" s="234" t="s">
        <v>186</v>
      </c>
      <c r="M158" s="234">
        <v>1</v>
      </c>
      <c r="N158" s="234" t="s">
        <v>352</v>
      </c>
      <c r="O158" s="437" t="str">
        <f>IF(Table1[[#This Row],[h_Item Description]]="","",INDEX([1]!db[NB PAJAK],MATCH(Table1[[#This Row],[h_Item Description]],[1]!db[kode],0)))</f>
        <v>PAPER CLIP WARNA KENKO 3100</v>
      </c>
      <c r="P158" s="234" t="s">
        <v>358</v>
      </c>
      <c r="Q158" s="237">
        <v>41400</v>
      </c>
      <c r="R158" s="238">
        <v>0.125</v>
      </c>
      <c r="S158" s="238"/>
      <c r="T158" s="440">
        <f>Table1[[#This Row],[h_hargasetelahdiskon]]</f>
        <v>1738800</v>
      </c>
      <c r="V158" s="234"/>
      <c r="W158" s="234">
        <f ca="1">IF(Table1[[#This Row],[Column12]]="","",IF(Table1[[#This Row],[//]]="",INDIRECT(ADDRESS(ROW()-1,COLUMN())),Table1[[#This Row],[//]]))</f>
        <v>152</v>
      </c>
      <c r="X158" s="234">
        <f ca="1">IF(Table1[[#This Row],[h_id]]="","",COUNTIF(Table1[h_id],Table1[[#This Row],[h_id]]))</f>
        <v>8</v>
      </c>
      <c r="Y158" s="237">
        <f>IF(Table1[[#This Row],[Column12]]="","",Table1[[#This Row],[Qty]]*Table1[[#This Row],[Column13]])</f>
        <v>1987200</v>
      </c>
      <c r="Z158" s="440">
        <f>IF(Table1[[#This Row],[h_hargasebelumdiskon]]="","",IF(Table1[[#This Row],[Column14]]="",0,Table1[[#This Row],[h_hargasebelumdiskon]]*Table1[[#This Row],[Column14]]))</f>
        <v>248400</v>
      </c>
      <c r="AA158" s="440">
        <f>IF(Table1[[#This Row],[h_hargasebelumdiskon]]="","",IF(Table1[[#This Row],[Column15]]="",0,(Table1[[#This Row],[h_hargasebelumdiskon]]-Table1[[#This Row],[h_disc 1]])*Table1[[#This Row],[Column15]]))</f>
        <v>0</v>
      </c>
      <c r="AB158" s="237">
        <f>IF(Table1[[#This Row],[Column12]]="","",Table1[[#This Row],[h_disc 1]]+Table1[[#This Row],[h_disc 2]])</f>
        <v>248400</v>
      </c>
      <c r="AC158" s="237">
        <f>IF(Table1[[#This Row],[Column12]]="","",Table1[[#This Row],[h_hargasebelumdiskon]]-Table1[[#This Row],[h_diskon]])</f>
        <v>1738800</v>
      </c>
      <c r="AD158" s="237" t="str">
        <f ca="1">IF(Table1[[#This Row],[//]]="","",SUMIF(Table1[h_id],Table1[[#This Row],[h_id]],Table1[h_hargasetelahdiskon]))</f>
        <v/>
      </c>
      <c r="AF158" s="237" t="str">
        <f>Table1[[#This Row],[Column12]]&amp;Table1[[#This Row],[Unit]]&amp;Table1[[#This Row],[Column13]]</f>
        <v>PAPER CLIP WARNA KENKO 3100LSN41400</v>
      </c>
      <c r="AG158"/>
      <c r="AH158"/>
      <c r="AI158"/>
    </row>
    <row r="159" spans="1:35">
      <c r="A159" s="234" t="str">
        <f ca="1">IF(Table1[[#This Row],[No. Invoice :]]="","",ROW())</f>
        <v/>
      </c>
      <c r="B159" s="432" t="str">
        <f ca="1">IF(Table1[[#This Row],[Column3]]="","",B$1+COUNT(INDIRECT("B$2:B"&amp;ROW()-1)))</f>
        <v/>
      </c>
      <c r="C159" s="235" t="str">
        <f>IF(Table1[[#This Row],[Column2]]="","",Table1[[#This Row],[Column2]]+C$1-1)</f>
        <v/>
      </c>
      <c r="D159" s="433"/>
      <c r="E159" s="236"/>
      <c r="F159" s="234"/>
      <c r="G159" s="234" t="str">
        <f ca="1">IF(Table1[[#This Row],[h_No. Invoice :]]="","",CONCATENATE("AM"," ",Table1[[#This Row],[h_No. Invoice :]]))</f>
        <v/>
      </c>
      <c r="H159" s="432" t="str">
        <f>IF(Table1[[#This Row],[Column5]]="","",INDEX(Table2[Column1],MATCH(Table1[[#This Row],[Column5]],Table2[a],0)))</f>
        <v/>
      </c>
      <c r="I159" s="234" t="str">
        <f>IF(Table1[[#This Row],[Column3]]=0,"",CONCATENATE(UPPER(Table1[[#This Row],[Column3]])," ",Table1[[#This Row],[Column4]]))</f>
        <v xml:space="preserve"> </v>
      </c>
      <c r="J159" s="234" t="str">
        <f>IF(Table1[[#This Row],[Column5]]="","",INDEX(Table2[e],IF(Table1[[#This Row],[Column5]]="","",MATCH(Table1[[#This Row],[Column5]],Table2[a],0)),))</f>
        <v/>
      </c>
      <c r="K159" s="234">
        <v>96</v>
      </c>
      <c r="L159" s="234" t="s">
        <v>186</v>
      </c>
      <c r="M159" s="234">
        <v>1</v>
      </c>
      <c r="N159" s="234" t="s">
        <v>409</v>
      </c>
      <c r="O159" s="432" t="str">
        <f>IF(Table1[[#This Row],[h_Item Description]]="","",INDEX([1]!db[NB PAJAK],MATCH(Table1[[#This Row],[h_Item Description]],[1]!db[kode],0)))</f>
        <v>GEL PEN TIZO 1.0 MM TG-340 HITAM</v>
      </c>
      <c r="P159" s="234" t="s">
        <v>420</v>
      </c>
      <c r="Q159" s="237">
        <v>33000</v>
      </c>
      <c r="R159" s="238"/>
      <c r="S159" s="238"/>
      <c r="T159" s="435">
        <f>Table1[[#This Row],[h_hargasetelahdiskon]]</f>
        <v>3168000</v>
      </c>
      <c r="V159" s="234"/>
      <c r="W159" s="234">
        <f ca="1">IF(Table1[[#This Row],[Column12]]="","",IF(Table1[[#This Row],[//]]="",INDIRECT(ADDRESS(ROW()-1,COLUMN())),Table1[[#This Row],[//]]))</f>
        <v>152</v>
      </c>
      <c r="X159" s="234">
        <f ca="1">IF(Table1[[#This Row],[h_id]]="","",COUNTIF(Table1[h_id],Table1[[#This Row],[h_id]]))</f>
        <v>8</v>
      </c>
      <c r="Y159" s="237">
        <f>IF(Table1[[#This Row],[Column12]]="","",Table1[[#This Row],[Qty]]*Table1[[#This Row],[Column13]])</f>
        <v>3168000</v>
      </c>
      <c r="Z159" s="435">
        <f>IF(Table1[[#This Row],[h_hargasebelumdiskon]]="","",IF(Table1[[#This Row],[Column14]]="",0,Table1[[#This Row],[h_hargasebelumdiskon]]*Table1[[#This Row],[Column14]]))</f>
        <v>0</v>
      </c>
      <c r="AA159" s="435">
        <f>IF(Table1[[#This Row],[h_hargasebelumdiskon]]="","",IF(Table1[[#This Row],[Column15]]="",0,(Table1[[#This Row],[h_hargasebelumdiskon]]-Table1[[#This Row],[h_disc 1]])*Table1[[#This Row],[Column15]]))</f>
        <v>0</v>
      </c>
      <c r="AB159" s="237">
        <f>IF(Table1[[#This Row],[Column12]]="","",Table1[[#This Row],[h_disc 1]]+Table1[[#This Row],[h_disc 2]])</f>
        <v>0</v>
      </c>
      <c r="AC159" s="237">
        <f>IF(Table1[[#This Row],[Column12]]="","",Table1[[#This Row],[h_hargasebelumdiskon]]-Table1[[#This Row],[h_diskon]])</f>
        <v>3168000</v>
      </c>
      <c r="AD159" s="237" t="str">
        <f ca="1">IF(Table1[[#This Row],[//]]="","",SUMIF(Table1[h_id],Table1[[#This Row],[h_id]],Table1[h_hargasetelahdiskon]))</f>
        <v/>
      </c>
      <c r="AF159" s="237" t="str">
        <f>Table1[[#This Row],[Column12]]&amp;Table1[[#This Row],[Unit]]&amp;Table1[[#This Row],[Column13]]</f>
        <v>GEL PEN TIZO 1.0 MM TG-340 HITAMLSN33000</v>
      </c>
      <c r="AG159"/>
      <c r="AH159"/>
      <c r="AI159"/>
    </row>
    <row r="160" spans="1:35">
      <c r="A160" s="234" t="str">
        <f ca="1">IF(Table1[[#This Row],[No. Invoice :]]="","",ROW())</f>
        <v/>
      </c>
      <c r="B160" s="432" t="str">
        <f ca="1">IF(Table1[[#This Row],[Column3]]="","",B$1+COUNT(INDIRECT("B$2:B"&amp;ROW()-1)))</f>
        <v/>
      </c>
      <c r="C160" s="235" t="str">
        <f>IF(Table1[[#This Row],[Column2]]="","",Table1[[#This Row],[Column2]]+C$1-1)</f>
        <v/>
      </c>
      <c r="D160" s="433"/>
      <c r="E160" s="434"/>
      <c r="F160" s="432"/>
      <c r="G160" s="234" t="str">
        <f ca="1">IF(Table1[[#This Row],[h_No. Invoice :]]="","",CONCATENATE("AM"," ",Table1[[#This Row],[h_No. Invoice :]]))</f>
        <v/>
      </c>
      <c r="H160" s="432" t="str">
        <f>IF(Table1[[#This Row],[Column5]]="","",INDEX(Table2[Column1],MATCH(Table1[[#This Row],[Column5]],Table2[a],0)))</f>
        <v/>
      </c>
      <c r="I160" s="234" t="str">
        <f>IF(Table1[[#This Row],[Column3]]=0,"",CONCATENATE(UPPER(Table1[[#This Row],[Column3]])," ",Table1[[#This Row],[Column4]]))</f>
        <v xml:space="preserve"> </v>
      </c>
      <c r="J160" s="234" t="str">
        <f>IF(Table1[[#This Row],[Column5]]="","",INDEX(Table2[e],IF(Table1[[#This Row],[Column5]]="","",MATCH(Table1[[#This Row],[Column5]],Table2[a],0)),))</f>
        <v/>
      </c>
      <c r="K160" s="234"/>
      <c r="L160" s="234"/>
      <c r="O160" s="432" t="str">
        <f>IF(Table1[[#This Row],[h_Item Description]]="","",INDEX([1]!db[NB PAJAK],MATCH(Table1[[#This Row],[h_Item Description]],[1]!db[kode],0)))</f>
        <v/>
      </c>
      <c r="Q160" s="237"/>
      <c r="R160" s="238"/>
      <c r="S160" s="238"/>
      <c r="T160" s="435" t="str">
        <f>Table1[[#This Row],[h_hargasetelahdiskon]]</f>
        <v/>
      </c>
      <c r="V160" s="234"/>
      <c r="W160" s="234" t="str">
        <f ca="1">IF(Table1[[#This Row],[Column12]]="","",IF(Table1[[#This Row],[//]]="",INDIRECT(ADDRESS(ROW()-1,COLUMN())),Table1[[#This Row],[//]]))</f>
        <v/>
      </c>
      <c r="X160" s="234" t="str">
        <f ca="1">IF(Table1[[#This Row],[h_id]]="","",COUNTIF(Table1[h_id],Table1[[#This Row],[h_id]]))</f>
        <v/>
      </c>
      <c r="Y160" s="237" t="str">
        <f>IF(Table1[[#This Row],[Column12]]="","",Table1[[#This Row],[Qty]]*Table1[[#This Row],[Column13]])</f>
        <v/>
      </c>
      <c r="Z160" s="435" t="str">
        <f>IF(Table1[[#This Row],[h_hargasebelumdiskon]]="","",IF(Table1[[#This Row],[Column14]]="",0,Table1[[#This Row],[h_hargasebelumdiskon]]*Table1[[#This Row],[Column14]]))</f>
        <v/>
      </c>
      <c r="AA160" s="435" t="str">
        <f>IF(Table1[[#This Row],[h_hargasebelumdiskon]]="","",IF(Table1[[#This Row],[Column15]]="",0,(Table1[[#This Row],[h_hargasebelumdiskon]]-Table1[[#This Row],[h_disc 1]])*Table1[[#This Row],[Column15]]))</f>
        <v/>
      </c>
      <c r="AB160" s="237" t="str">
        <f>IF(Table1[[#This Row],[Column12]]="","",Table1[[#This Row],[h_disc 1]]+Table1[[#This Row],[h_disc 2]])</f>
        <v/>
      </c>
      <c r="AC160" s="237" t="str">
        <f>IF(Table1[[#This Row],[Column12]]="","",Table1[[#This Row],[h_hargasebelumdiskon]]-Table1[[#This Row],[h_diskon]])</f>
        <v/>
      </c>
      <c r="AD160" s="237" t="str">
        <f ca="1">IF(Table1[[#This Row],[//]]="","",SUMIF(Table1[h_id],Table1[[#This Row],[h_id]],Table1[h_hargasetelahdiskon]))</f>
        <v/>
      </c>
      <c r="AF160" s="237" t="str">
        <f>Table1[[#This Row],[Column12]]&amp;Table1[[#This Row],[Unit]]&amp;Table1[[#This Row],[Column13]]</f>
        <v/>
      </c>
      <c r="AG160"/>
      <c r="AH160"/>
      <c r="AI160"/>
    </row>
    <row r="161" spans="1:35">
      <c r="A161" s="234">
        <f ca="1">IF(Table1[[#This Row],[No. Invoice :]]="","",ROW())</f>
        <v>161</v>
      </c>
      <c r="B161" s="234">
        <f ca="1">IF(Table1[[#This Row],[Column3]]="","",B$1+COUNT(INDIRECT("B$2:B"&amp;ROW()-1)))</f>
        <v>24050031</v>
      </c>
      <c r="C161" s="235">
        <f>IF(Table1[[#This Row],[Column2]]="","",Table1[[#This Row],[Column2]]+C$1-1)</f>
        <v>45412</v>
      </c>
      <c r="D161" s="242">
        <v>0</v>
      </c>
      <c r="E161" s="236" t="s">
        <v>401</v>
      </c>
      <c r="F161" s="234">
        <v>0</v>
      </c>
      <c r="G161" s="234" t="str">
        <f ca="1">IF(Table1[[#This Row],[h_No. Invoice :]]="","",CONCATENATE("AM"," ",Table1[[#This Row],[h_No. Invoice :]]))</f>
        <v>AM 24050031</v>
      </c>
      <c r="H161" s="234">
        <f>IF(Table1[[#This Row],[Column5]]="","",INDEX(Table2[Column1],MATCH(Table1[[#This Row],[Column5]],Table2[a],0)))</f>
        <v>0</v>
      </c>
      <c r="I161" s="234" t="str">
        <f>IF(Table1[[#This Row],[Column3]]=0,"",CONCATENATE(UPPER(Table1[[#This Row],[Column3]])," ",Table1[[#This Row],[Column4]]))</f>
        <v/>
      </c>
      <c r="J161" s="234" t="str">
        <f>IF(Table1[[#This Row],[Column5]]="","",INDEX(Table2[e],IF(Table1[[#This Row],[Column5]]="","",MATCH(Table1[[#This Row],[Column5]],Table2[a],0)),))</f>
        <v>0 0 0</v>
      </c>
      <c r="K161" s="234"/>
      <c r="L161" s="234"/>
      <c r="O161" s="234" t="str">
        <f>IF(Table1[[#This Row],[h_Item Description]]="","",INDEX([1]!db[NB PAJAK],MATCH(Table1[[#This Row],[h_Item Description]],[1]!db[kode],0)))</f>
        <v/>
      </c>
      <c r="Q161" s="237"/>
      <c r="R161" s="238"/>
      <c r="S161" s="238"/>
      <c r="T161" s="237" t="str">
        <f>Table1[[#This Row],[h_hargasetelahdiskon]]</f>
        <v/>
      </c>
      <c r="V161" s="234"/>
      <c r="W161" s="234" t="str">
        <f ca="1">IF(Table1[[#This Row],[Column12]]="","",IF(Table1[[#This Row],[//]]="",INDIRECT(ADDRESS(ROW()-1,COLUMN())),Table1[[#This Row],[//]]))</f>
        <v/>
      </c>
      <c r="X161" s="234" t="str">
        <f ca="1">IF(Table1[[#This Row],[h_id]]="","",COUNTIF(Table1[h_id],Table1[[#This Row],[h_id]]))</f>
        <v/>
      </c>
      <c r="Y161" s="237" t="str">
        <f>IF(Table1[[#This Row],[Column12]]="","",Table1[[#This Row],[Qty]]*Table1[[#This Row],[Column13]])</f>
        <v/>
      </c>
      <c r="Z161" s="237" t="str">
        <f>IF(Table1[[#This Row],[h_hargasebelumdiskon]]="","",IF(Table1[[#This Row],[Column14]]="",0,Table1[[#This Row],[h_hargasebelumdiskon]]*Table1[[#This Row],[Column14]]))</f>
        <v/>
      </c>
      <c r="AA161" s="237" t="str">
        <f>IF(Table1[[#This Row],[h_hargasebelumdiskon]]="","",IF(Table1[[#This Row],[Column15]]="",0,(Table1[[#This Row],[h_hargasebelumdiskon]]-Table1[[#This Row],[h_disc 1]])*Table1[[#This Row],[Column15]]))</f>
        <v/>
      </c>
      <c r="AB161" s="237" t="str">
        <f>IF(Table1[[#This Row],[Column12]]="","",Table1[[#This Row],[h_disc 1]]+Table1[[#This Row],[h_disc 2]])</f>
        <v/>
      </c>
      <c r="AC161" s="237" t="str">
        <f>IF(Table1[[#This Row],[Column12]]="","",Table1[[#This Row],[h_hargasebelumdiskon]]-Table1[[#This Row],[h_diskon]])</f>
        <v/>
      </c>
      <c r="AD161" s="237">
        <f ca="1">IF(Table1[[#This Row],[//]]="","",SUMIF(Table1[h_id],Table1[[#This Row],[h_id]],Table1[h_hargasetelahdiskon]))</f>
        <v>0</v>
      </c>
      <c r="AF161" s="237" t="str">
        <f>Table1[[#This Row],[Column12]]&amp;Table1[[#This Row],[Unit]]&amp;Table1[[#This Row],[Column13]]</f>
        <v/>
      </c>
      <c r="AG161"/>
      <c r="AH161"/>
      <c r="AI161"/>
    </row>
    <row r="162" spans="1:35">
      <c r="A162" s="234" t="str">
        <f ca="1">IF(Table1[[#This Row],[No. Invoice :]]="","",ROW())</f>
        <v/>
      </c>
      <c r="B162" s="449" t="str">
        <f ca="1">IF(Table1[[#This Row],[Column3]]="","",B$1+COUNT(INDIRECT("B$2:B"&amp;ROW()-1)))</f>
        <v/>
      </c>
      <c r="C162" s="235" t="str">
        <f>IF(Table1[[#This Row],[Column2]]="","",Table1[[#This Row],[Column2]]+C$1-1)</f>
        <v/>
      </c>
      <c r="D162" s="450"/>
      <c r="E162" s="451"/>
      <c r="F162" s="449"/>
      <c r="G162" s="234" t="str">
        <f ca="1">IF(Table1[[#This Row],[h_No. Invoice :]]="","",CONCATENATE("AM"," ",Table1[[#This Row],[h_No. Invoice :]]))</f>
        <v/>
      </c>
      <c r="H162" s="449" t="str">
        <f>IF(Table1[[#This Row],[Column5]]="","",INDEX(Table2[Column1],MATCH(Table1[[#This Row],[Column5]],Table2[a],0)))</f>
        <v/>
      </c>
      <c r="I162" s="234" t="str">
        <f>IF(Table1[[#This Row],[Column3]]=0,"",CONCATENATE(UPPER(Table1[[#This Row],[Column3]])," ",Table1[[#This Row],[Column4]]))</f>
        <v xml:space="preserve"> </v>
      </c>
      <c r="J162" s="234" t="str">
        <f>IF(Table1[[#This Row],[Column5]]="","",INDEX(Table2[e],IF(Table1[[#This Row],[Column5]]="","",MATCH(Table1[[#This Row],[Column5]],Table2[a],0)),))</f>
        <v/>
      </c>
      <c r="K162" s="234"/>
      <c r="L162" s="234"/>
      <c r="N162" s="449"/>
      <c r="O162" s="449" t="str">
        <f>IF(Table1[[#This Row],[h_Item Description]]="","",INDEX([1]!db[NB PAJAK],MATCH(Table1[[#This Row],[h_Item Description]],[1]!db[kode],0)))</f>
        <v/>
      </c>
      <c r="Q162" s="237"/>
      <c r="R162" s="238"/>
      <c r="S162" s="238"/>
      <c r="T162" s="452" t="str">
        <f>Table1[[#This Row],[h_hargasetelahdiskon]]</f>
        <v/>
      </c>
      <c r="V162" s="234"/>
      <c r="W162" s="234" t="str">
        <f ca="1">IF(Table1[[#This Row],[Column12]]="","",IF(Table1[[#This Row],[//]]="",INDIRECT(ADDRESS(ROW()-1,COLUMN())),Table1[[#This Row],[//]]))</f>
        <v/>
      </c>
      <c r="X162" s="234" t="str">
        <f ca="1">IF(Table1[[#This Row],[h_id]]="","",COUNTIF(Table1[h_id],Table1[[#This Row],[h_id]]))</f>
        <v/>
      </c>
      <c r="Y162" s="237" t="str">
        <f>IF(Table1[[#This Row],[Column12]]="","",Table1[[#This Row],[Qty]]*Table1[[#This Row],[Column13]])</f>
        <v/>
      </c>
      <c r="Z162" s="452" t="str">
        <f>IF(Table1[[#This Row],[h_hargasebelumdiskon]]="","",IF(Table1[[#This Row],[Column14]]="",0,Table1[[#This Row],[h_hargasebelumdiskon]]*Table1[[#This Row],[Column14]]))</f>
        <v/>
      </c>
      <c r="AA162" s="452" t="str">
        <f>IF(Table1[[#This Row],[h_hargasebelumdiskon]]="","",IF(Table1[[#This Row],[Column15]]="",0,(Table1[[#This Row],[h_hargasebelumdiskon]]-Table1[[#This Row],[h_disc 1]])*Table1[[#This Row],[Column15]]))</f>
        <v/>
      </c>
      <c r="AB162" s="237" t="str">
        <f>IF(Table1[[#This Row],[Column12]]="","",Table1[[#This Row],[h_disc 1]]+Table1[[#This Row],[h_disc 2]])</f>
        <v/>
      </c>
      <c r="AC162" s="237" t="str">
        <f>IF(Table1[[#This Row],[Column12]]="","",Table1[[#This Row],[h_hargasebelumdiskon]]-Table1[[#This Row],[h_diskon]])</f>
        <v/>
      </c>
      <c r="AD162" s="237" t="str">
        <f ca="1">IF(Table1[[#This Row],[//]]="","",SUMIF(Table1[h_id],Table1[[#This Row],[h_id]],Table1[h_hargasetelahdiskon]))</f>
        <v/>
      </c>
      <c r="AF162" s="237" t="str">
        <f>Table1[[#This Row],[Column12]]&amp;Table1[[#This Row],[Unit]]&amp;Table1[[#This Row],[Column13]]</f>
        <v/>
      </c>
      <c r="AG162"/>
      <c r="AH162"/>
      <c r="AI162"/>
    </row>
    <row r="163" spans="1:35">
      <c r="A163" s="234" t="str">
        <f ca="1">IF(Table1[[#This Row],[No. Invoice :]]="","",ROW())</f>
        <v/>
      </c>
      <c r="B163" s="449" t="str">
        <f ca="1">IF(Table1[[#This Row],[Column3]]="","",B$1+COUNT(INDIRECT("B$2:B"&amp;ROW()-1)))</f>
        <v/>
      </c>
      <c r="C163" s="235" t="str">
        <f>IF(Table1[[#This Row],[Column2]]="","",Table1[[#This Row],[Column2]]+C$1-1)</f>
        <v/>
      </c>
      <c r="D163" s="450"/>
      <c r="E163" s="451"/>
      <c r="F163" s="449"/>
      <c r="G163" s="234" t="str">
        <f ca="1">IF(Table1[[#This Row],[h_No. Invoice :]]="","",CONCATENATE("AM"," ",Table1[[#This Row],[h_No. Invoice :]]))</f>
        <v/>
      </c>
      <c r="H163" s="449" t="str">
        <f>IF(Table1[[#This Row],[Column5]]="","",INDEX(Table2[Column1],MATCH(Table1[[#This Row],[Column5]],Table2[a],0)))</f>
        <v/>
      </c>
      <c r="I163" s="234" t="str">
        <f>IF(Table1[[#This Row],[Column3]]=0,"",CONCATENATE(UPPER(Table1[[#This Row],[Column3]])," ",Table1[[#This Row],[Column4]]))</f>
        <v xml:space="preserve"> </v>
      </c>
      <c r="J163" s="234" t="str">
        <f>IF(Table1[[#This Row],[Column5]]="","",INDEX(Table2[e],IF(Table1[[#This Row],[Column5]]="","",MATCH(Table1[[#This Row],[Column5]],Table2[a],0)),))</f>
        <v/>
      </c>
      <c r="K163" s="234"/>
      <c r="L163" s="234"/>
      <c r="N163" s="449"/>
      <c r="O163" s="449" t="str">
        <f>IF(Table1[[#This Row],[h_Item Description]]="","",INDEX([1]!db[NB PAJAK],MATCH(Table1[[#This Row],[h_Item Description]],[1]!db[kode],0)))</f>
        <v/>
      </c>
      <c r="Q163" s="237"/>
      <c r="R163" s="238"/>
      <c r="S163" s="238"/>
      <c r="T163" s="452" t="str">
        <f>Table1[[#This Row],[h_hargasetelahdiskon]]</f>
        <v/>
      </c>
      <c r="V163" s="234"/>
      <c r="W163" s="234" t="str">
        <f ca="1">IF(Table1[[#This Row],[Column12]]="","",IF(Table1[[#This Row],[//]]="",INDIRECT(ADDRESS(ROW()-1,COLUMN())),Table1[[#This Row],[//]]))</f>
        <v/>
      </c>
      <c r="X163" s="234" t="str">
        <f ca="1">IF(Table1[[#This Row],[h_id]]="","",COUNTIF(Table1[h_id],Table1[[#This Row],[h_id]]))</f>
        <v/>
      </c>
      <c r="Y163" s="237" t="str">
        <f>IF(Table1[[#This Row],[Column12]]="","",Table1[[#This Row],[Qty]]*Table1[[#This Row],[Column13]])</f>
        <v/>
      </c>
      <c r="Z163" s="452" t="str">
        <f>IF(Table1[[#This Row],[h_hargasebelumdiskon]]="","",IF(Table1[[#This Row],[Column14]]="",0,Table1[[#This Row],[h_hargasebelumdiskon]]*Table1[[#This Row],[Column14]]))</f>
        <v/>
      </c>
      <c r="AA163" s="452" t="str">
        <f>IF(Table1[[#This Row],[h_hargasebelumdiskon]]="","",IF(Table1[[#This Row],[Column15]]="",0,(Table1[[#This Row],[h_hargasebelumdiskon]]-Table1[[#This Row],[h_disc 1]])*Table1[[#This Row],[Column15]]))</f>
        <v/>
      </c>
      <c r="AB163" s="237" t="str">
        <f>IF(Table1[[#This Row],[Column12]]="","",Table1[[#This Row],[h_disc 1]]+Table1[[#This Row],[h_disc 2]])</f>
        <v/>
      </c>
      <c r="AC163" s="237" t="str">
        <f>IF(Table1[[#This Row],[Column12]]="","",Table1[[#This Row],[h_hargasebelumdiskon]]-Table1[[#This Row],[h_diskon]])</f>
        <v/>
      </c>
      <c r="AD163" s="237" t="str">
        <f ca="1">IF(Table1[[#This Row],[//]]="","",SUMIF(Table1[h_id],Table1[[#This Row],[h_id]],Table1[h_hargasetelahdiskon]))</f>
        <v/>
      </c>
      <c r="AF163" s="237" t="str">
        <f>Table1[[#This Row],[Column12]]&amp;Table1[[#This Row],[Unit]]&amp;Table1[[#This Row],[Column13]]</f>
        <v/>
      </c>
      <c r="AG163"/>
      <c r="AH163"/>
      <c r="AI163"/>
    </row>
    <row r="164" spans="1:35">
      <c r="A164" s="234">
        <f ca="1">IF(Table1[[#This Row],[No. Invoice :]]="","",ROW())</f>
        <v>164</v>
      </c>
      <c r="B164" s="449">
        <f ca="1">IF(Table1[[#This Row],[Column3]]="","",B$1+COUNT(INDIRECT("B$2:B"&amp;ROW()-1)))</f>
        <v>24050032</v>
      </c>
      <c r="C164" s="235">
        <f>IF(Table1[[#This Row],[Column2]]="","",Table1[[#This Row],[Column2]]+C$1-1)</f>
        <v>45412</v>
      </c>
      <c r="D164" s="450">
        <v>0</v>
      </c>
      <c r="E164" s="451" t="s">
        <v>401</v>
      </c>
      <c r="F164" s="449">
        <v>0</v>
      </c>
      <c r="G164" s="234" t="str">
        <f ca="1">IF(Table1[[#This Row],[h_No. Invoice :]]="","",CONCATENATE("AM"," ",Table1[[#This Row],[h_No. Invoice :]]))</f>
        <v>AM 24050032</v>
      </c>
      <c r="H164" s="449">
        <f>IF(Table1[[#This Row],[Column5]]="","",INDEX(Table2[Column1],MATCH(Table1[[#This Row],[Column5]],Table2[a],0)))</f>
        <v>0</v>
      </c>
      <c r="I164" s="234" t="str">
        <f>IF(Table1[[#This Row],[Column3]]=0,"",CONCATENATE(UPPER(Table1[[#This Row],[Column3]])," ",Table1[[#This Row],[Column4]]))</f>
        <v/>
      </c>
      <c r="J164" s="234" t="str">
        <f>IF(Table1[[#This Row],[Column5]]="","",INDEX(Table2[e],IF(Table1[[#This Row],[Column5]]="","",MATCH(Table1[[#This Row],[Column5]],Table2[a],0)),))</f>
        <v>0 0 0</v>
      </c>
      <c r="K164" s="234"/>
      <c r="L164" s="234"/>
      <c r="N164" s="449"/>
      <c r="O164" s="449" t="str">
        <f>IF(Table1[[#This Row],[h_Item Description]]="","",INDEX([1]!db[NB PAJAK],MATCH(Table1[[#This Row],[h_Item Description]],[1]!db[kode],0)))</f>
        <v/>
      </c>
      <c r="Q164" s="237"/>
      <c r="R164" s="238"/>
      <c r="S164" s="238"/>
      <c r="T164" s="452" t="str">
        <f>Table1[[#This Row],[h_hargasetelahdiskon]]</f>
        <v/>
      </c>
      <c r="V164" s="234"/>
      <c r="W164" s="234" t="str">
        <f ca="1">IF(Table1[[#This Row],[Column12]]="","",IF(Table1[[#This Row],[//]]="",INDIRECT(ADDRESS(ROW()-1,COLUMN())),Table1[[#This Row],[//]]))</f>
        <v/>
      </c>
      <c r="X164" s="234" t="str">
        <f ca="1">IF(Table1[[#This Row],[h_id]]="","",COUNTIF(Table1[h_id],Table1[[#This Row],[h_id]]))</f>
        <v/>
      </c>
      <c r="Y164" s="237" t="str">
        <f>IF(Table1[[#This Row],[Column12]]="","",Table1[[#This Row],[Qty]]*Table1[[#This Row],[Column13]])</f>
        <v/>
      </c>
      <c r="Z164" s="452" t="str">
        <f>IF(Table1[[#This Row],[h_hargasebelumdiskon]]="","",IF(Table1[[#This Row],[Column14]]="",0,Table1[[#This Row],[h_hargasebelumdiskon]]*Table1[[#This Row],[Column14]]))</f>
        <v/>
      </c>
      <c r="AA164" s="452" t="str">
        <f>IF(Table1[[#This Row],[h_hargasebelumdiskon]]="","",IF(Table1[[#This Row],[Column15]]="",0,(Table1[[#This Row],[h_hargasebelumdiskon]]-Table1[[#This Row],[h_disc 1]])*Table1[[#This Row],[Column15]]))</f>
        <v/>
      </c>
      <c r="AB164" s="237" t="str">
        <f>IF(Table1[[#This Row],[Column12]]="","",Table1[[#This Row],[h_disc 1]]+Table1[[#This Row],[h_disc 2]])</f>
        <v/>
      </c>
      <c r="AC164" s="237" t="str">
        <f>IF(Table1[[#This Row],[Column12]]="","",Table1[[#This Row],[h_hargasebelumdiskon]]-Table1[[#This Row],[h_diskon]])</f>
        <v/>
      </c>
      <c r="AD164" s="237">
        <f ca="1">IF(Table1[[#This Row],[//]]="","",SUMIF(Table1[h_id],Table1[[#This Row],[h_id]],Table1[h_hargasetelahdiskon]))</f>
        <v>0</v>
      </c>
      <c r="AF164" s="237" t="str">
        <f>Table1[[#This Row],[Column12]]&amp;Table1[[#This Row],[Unit]]&amp;Table1[[#This Row],[Column13]]</f>
        <v/>
      </c>
      <c r="AG164"/>
      <c r="AH164"/>
      <c r="AI164"/>
    </row>
    <row r="165" spans="1:35">
      <c r="A165" s="234">
        <f ca="1">IF(Table1[[#This Row],[No. Invoice :]]="","",ROW())</f>
        <v>165</v>
      </c>
      <c r="B165" s="449">
        <f ca="1">IF(Table1[[#This Row],[Column3]]="","",B$1+COUNT(INDIRECT("B$2:B"&amp;ROW()-1)))</f>
        <v>24050033</v>
      </c>
      <c r="C165" s="235">
        <f>IF(Table1[[#This Row],[Column2]]="","",Table1[[#This Row],[Column2]]+C$1-1)</f>
        <v>45412</v>
      </c>
      <c r="D165" s="450">
        <v>0</v>
      </c>
      <c r="E165" s="451" t="s">
        <v>401</v>
      </c>
      <c r="F165" s="449">
        <v>0</v>
      </c>
      <c r="G165" s="234" t="str">
        <f ca="1">IF(Table1[[#This Row],[h_No. Invoice :]]="","",CONCATENATE("AM"," ",Table1[[#This Row],[h_No. Invoice :]]))</f>
        <v>AM 24050033</v>
      </c>
      <c r="H165" s="449">
        <f>IF(Table1[[#This Row],[Column5]]="","",INDEX(Table2[Column1],MATCH(Table1[[#This Row],[Column5]],Table2[a],0)))</f>
        <v>0</v>
      </c>
      <c r="I165" s="234" t="str">
        <f>IF(Table1[[#This Row],[Column3]]=0,"",CONCATENATE(UPPER(Table1[[#This Row],[Column3]])," ",Table1[[#This Row],[Column4]]))</f>
        <v/>
      </c>
      <c r="J165" s="234" t="str">
        <f>IF(Table1[[#This Row],[Column5]]="","",INDEX(Table2[e],IF(Table1[[#This Row],[Column5]]="","",MATCH(Table1[[#This Row],[Column5]],Table2[a],0)),))</f>
        <v>0 0 0</v>
      </c>
      <c r="K165" s="234"/>
      <c r="L165" s="234"/>
      <c r="N165" s="449"/>
      <c r="O165" s="449" t="str">
        <f>IF(Table1[[#This Row],[h_Item Description]]="","",INDEX([1]!db[NB PAJAK],MATCH(Table1[[#This Row],[h_Item Description]],[1]!db[kode],0)))</f>
        <v/>
      </c>
      <c r="Q165" s="237"/>
      <c r="R165" s="238"/>
      <c r="S165" s="238"/>
      <c r="T165" s="452" t="str">
        <f>Table1[[#This Row],[h_hargasetelahdiskon]]</f>
        <v/>
      </c>
      <c r="V165" s="234"/>
      <c r="W165" s="234" t="str">
        <f ca="1">IF(Table1[[#This Row],[Column12]]="","",IF(Table1[[#This Row],[//]]="",INDIRECT(ADDRESS(ROW()-1,COLUMN())),Table1[[#This Row],[//]]))</f>
        <v/>
      </c>
      <c r="X165" s="234" t="str">
        <f ca="1">IF(Table1[[#This Row],[h_id]]="","",COUNTIF(Table1[h_id],Table1[[#This Row],[h_id]]))</f>
        <v/>
      </c>
      <c r="Y165" s="237" t="str">
        <f>IF(Table1[[#This Row],[Column12]]="","",Table1[[#This Row],[Qty]]*Table1[[#This Row],[Column13]])</f>
        <v/>
      </c>
      <c r="Z165" s="452" t="str">
        <f>IF(Table1[[#This Row],[h_hargasebelumdiskon]]="","",IF(Table1[[#This Row],[Column14]]="",0,Table1[[#This Row],[h_hargasebelumdiskon]]*Table1[[#This Row],[Column14]]))</f>
        <v/>
      </c>
      <c r="AA165" s="452" t="str">
        <f>IF(Table1[[#This Row],[h_hargasebelumdiskon]]="","",IF(Table1[[#This Row],[Column15]]="",0,(Table1[[#This Row],[h_hargasebelumdiskon]]-Table1[[#This Row],[h_disc 1]])*Table1[[#This Row],[Column15]]))</f>
        <v/>
      </c>
      <c r="AB165" s="237" t="str">
        <f>IF(Table1[[#This Row],[Column12]]="","",Table1[[#This Row],[h_disc 1]]+Table1[[#This Row],[h_disc 2]])</f>
        <v/>
      </c>
      <c r="AC165" s="237" t="str">
        <f>IF(Table1[[#This Row],[Column12]]="","",Table1[[#This Row],[h_hargasebelumdiskon]]-Table1[[#This Row],[h_diskon]])</f>
        <v/>
      </c>
      <c r="AD165" s="237">
        <f ca="1">IF(Table1[[#This Row],[//]]="","",SUMIF(Table1[h_id],Table1[[#This Row],[h_id]],Table1[h_hargasetelahdiskon]))</f>
        <v>0</v>
      </c>
      <c r="AF165" s="237" t="str">
        <f>Table1[[#This Row],[Column12]]&amp;Table1[[#This Row],[Unit]]&amp;Table1[[#This Row],[Column13]]</f>
        <v/>
      </c>
      <c r="AG165"/>
      <c r="AH165"/>
      <c r="AI165"/>
    </row>
    <row r="166" spans="1:35">
      <c r="A166" s="234">
        <f ca="1">IF(Table1[[#This Row],[No. Invoice :]]="","",ROW())</f>
        <v>166</v>
      </c>
      <c r="B166" s="449">
        <f ca="1">IF(Table1[[#This Row],[Column3]]="","",B$1+COUNT(INDIRECT("B$2:B"&amp;ROW()-1)))</f>
        <v>24050034</v>
      </c>
      <c r="C166" s="235">
        <f>IF(Table1[[#This Row],[Column2]]="","",Table1[[#This Row],[Column2]]+C$1-1)</f>
        <v>45412</v>
      </c>
      <c r="D166" s="450">
        <v>0</v>
      </c>
      <c r="E166" s="451" t="s">
        <v>401</v>
      </c>
      <c r="F166" s="449">
        <v>0</v>
      </c>
      <c r="G166" s="234" t="str">
        <f ca="1">IF(Table1[[#This Row],[h_No. Invoice :]]="","",CONCATENATE("AM"," ",Table1[[#This Row],[h_No. Invoice :]]))</f>
        <v>AM 24050034</v>
      </c>
      <c r="H166" s="449">
        <f>IF(Table1[[#This Row],[Column5]]="","",INDEX(Table2[Column1],MATCH(Table1[[#This Row],[Column5]],Table2[a],0)))</f>
        <v>0</v>
      </c>
      <c r="I166" s="234" t="str">
        <f>IF(Table1[[#This Row],[Column3]]=0,"",CONCATENATE(UPPER(Table1[[#This Row],[Column3]])," ",Table1[[#This Row],[Column4]]))</f>
        <v/>
      </c>
      <c r="J166" s="234" t="str">
        <f>IF(Table1[[#This Row],[Column5]]="","",INDEX(Table2[e],IF(Table1[[#This Row],[Column5]]="","",MATCH(Table1[[#This Row],[Column5]],Table2[a],0)),))</f>
        <v>0 0 0</v>
      </c>
      <c r="K166" s="234"/>
      <c r="L166" s="234"/>
      <c r="N166" s="449"/>
      <c r="O166" s="449" t="str">
        <f>IF(Table1[[#This Row],[h_Item Description]]="","",INDEX([1]!db[NB PAJAK],MATCH(Table1[[#This Row],[h_Item Description]],[1]!db[kode],0)))</f>
        <v/>
      </c>
      <c r="Q166" s="237"/>
      <c r="R166" s="238"/>
      <c r="S166" s="238"/>
      <c r="T166" s="452" t="str">
        <f>Table1[[#This Row],[h_hargasetelahdiskon]]</f>
        <v/>
      </c>
      <c r="V166" s="234"/>
      <c r="W166" s="234" t="str">
        <f ca="1">IF(Table1[[#This Row],[Column12]]="","",IF(Table1[[#This Row],[//]]="",INDIRECT(ADDRESS(ROW()-1,COLUMN())),Table1[[#This Row],[//]]))</f>
        <v/>
      </c>
      <c r="X166" s="234" t="str">
        <f ca="1">IF(Table1[[#This Row],[h_id]]="","",COUNTIF(Table1[h_id],Table1[[#This Row],[h_id]]))</f>
        <v/>
      </c>
      <c r="Y166" s="237" t="str">
        <f>IF(Table1[[#This Row],[Column12]]="","",Table1[[#This Row],[Qty]]*Table1[[#This Row],[Column13]])</f>
        <v/>
      </c>
      <c r="Z166" s="452" t="str">
        <f>IF(Table1[[#This Row],[h_hargasebelumdiskon]]="","",IF(Table1[[#This Row],[Column14]]="",0,Table1[[#This Row],[h_hargasebelumdiskon]]*Table1[[#This Row],[Column14]]))</f>
        <v/>
      </c>
      <c r="AA166" s="452" t="str">
        <f>IF(Table1[[#This Row],[h_hargasebelumdiskon]]="","",IF(Table1[[#This Row],[Column15]]="",0,(Table1[[#This Row],[h_hargasebelumdiskon]]-Table1[[#This Row],[h_disc 1]])*Table1[[#This Row],[Column15]]))</f>
        <v/>
      </c>
      <c r="AB166" s="237" t="str">
        <f>IF(Table1[[#This Row],[Column12]]="","",Table1[[#This Row],[h_disc 1]]+Table1[[#This Row],[h_disc 2]])</f>
        <v/>
      </c>
      <c r="AC166" s="237" t="str">
        <f>IF(Table1[[#This Row],[Column12]]="","",Table1[[#This Row],[h_hargasebelumdiskon]]-Table1[[#This Row],[h_diskon]])</f>
        <v/>
      </c>
      <c r="AD166" s="237">
        <f ca="1">IF(Table1[[#This Row],[//]]="","",SUMIF(Table1[h_id],Table1[[#This Row],[h_id]],Table1[h_hargasetelahdiskon]))</f>
        <v>0</v>
      </c>
      <c r="AF166" s="237" t="str">
        <f>Table1[[#This Row],[Column12]]&amp;Table1[[#This Row],[Unit]]&amp;Table1[[#This Row],[Column13]]</f>
        <v/>
      </c>
      <c r="AG166"/>
      <c r="AH166"/>
      <c r="AI166"/>
    </row>
    <row r="167" spans="1:35">
      <c r="A167" s="234" t="str">
        <f ca="1">IF(Table1[[#This Row],[No. Invoice :]]="","",ROW())</f>
        <v/>
      </c>
      <c r="B167" s="432" t="str">
        <f ca="1">IF(Table1[[#This Row],[Column3]]="","",B$1+COUNT(INDIRECT("B$2:B"&amp;ROW()-1)))</f>
        <v/>
      </c>
      <c r="C167" s="235" t="str">
        <f>IF(Table1[[#This Row],[Column2]]="","",Table1[[#This Row],[Column2]]+C$1-1)</f>
        <v/>
      </c>
      <c r="D167" s="433"/>
      <c r="E167" s="236"/>
      <c r="F167" s="234"/>
      <c r="G167" s="234" t="str">
        <f ca="1">IF(Table1[[#This Row],[h_No. Invoice :]]="","",CONCATENATE("AM"," ",Table1[[#This Row],[h_No. Invoice :]]))</f>
        <v/>
      </c>
      <c r="H167" s="432" t="str">
        <f>IF(Table1[[#This Row],[Column5]]="","",INDEX(Table2[Column1],MATCH(Table1[[#This Row],[Column5]],Table2[a],0)))</f>
        <v/>
      </c>
      <c r="I167" s="234" t="str">
        <f>IF(Table1[[#This Row],[Column3]]=0,"",CONCATENATE(UPPER(Table1[[#This Row],[Column3]])," ",Table1[[#This Row],[Column4]]))</f>
        <v xml:space="preserve"> </v>
      </c>
      <c r="J167" s="234" t="str">
        <f>IF(Table1[[#This Row],[Column5]]="","",INDEX(Table2[e],IF(Table1[[#This Row],[Column5]]="","",MATCH(Table1[[#This Row],[Column5]],Table2[a],0)),))</f>
        <v/>
      </c>
      <c r="K167" s="234"/>
      <c r="L167" s="234"/>
      <c r="O167" s="432" t="str">
        <f>IF(Table1[[#This Row],[h_Item Description]]="","",INDEX([1]!db[NB PAJAK],MATCH(Table1[[#This Row],[h_Item Description]],[1]!db[kode],0)))</f>
        <v/>
      </c>
      <c r="Q167" s="237"/>
      <c r="R167" s="238"/>
      <c r="S167" s="238"/>
      <c r="T167" s="435" t="str">
        <f>Table1[[#This Row],[h_hargasetelahdiskon]]</f>
        <v/>
      </c>
      <c r="V167" s="234"/>
      <c r="W167" s="234" t="str">
        <f ca="1">IF(Table1[[#This Row],[Column12]]="","",IF(Table1[[#This Row],[//]]="",INDIRECT(ADDRESS(ROW()-1,COLUMN())),Table1[[#This Row],[//]]))</f>
        <v/>
      </c>
      <c r="X167" s="234" t="str">
        <f ca="1">IF(Table1[[#This Row],[h_id]]="","",COUNTIF(Table1[h_id],Table1[[#This Row],[h_id]]))</f>
        <v/>
      </c>
      <c r="Y167" s="237" t="str">
        <f>IF(Table1[[#This Row],[Column12]]="","",Table1[[#This Row],[Qty]]*Table1[[#This Row],[Column13]])</f>
        <v/>
      </c>
      <c r="Z167" s="435" t="str">
        <f>IF(Table1[[#This Row],[h_hargasebelumdiskon]]="","",IF(Table1[[#This Row],[Column14]]="",0,Table1[[#This Row],[h_hargasebelumdiskon]]*Table1[[#This Row],[Column14]]))</f>
        <v/>
      </c>
      <c r="AA167" s="435" t="str">
        <f>IF(Table1[[#This Row],[h_hargasebelumdiskon]]="","",IF(Table1[[#This Row],[Column15]]="",0,(Table1[[#This Row],[h_hargasebelumdiskon]]-Table1[[#This Row],[h_disc 1]])*Table1[[#This Row],[Column15]]))</f>
        <v/>
      </c>
      <c r="AB167" s="237" t="str">
        <f>IF(Table1[[#This Row],[Column12]]="","",Table1[[#This Row],[h_disc 1]]+Table1[[#This Row],[h_disc 2]])</f>
        <v/>
      </c>
      <c r="AC167" s="237" t="str">
        <f>IF(Table1[[#This Row],[Column12]]="","",Table1[[#This Row],[h_hargasebelumdiskon]]-Table1[[#This Row],[h_diskon]])</f>
        <v/>
      </c>
      <c r="AD167" s="237" t="str">
        <f ca="1">IF(Table1[[#This Row],[//]]="","",SUMIF(Table1[h_id],Table1[[#This Row],[h_id]],Table1[h_hargasetelahdiskon]))</f>
        <v/>
      </c>
      <c r="AF167" s="237" t="str">
        <f>Table1[[#This Row],[Column12]]&amp;Table1[[#This Row],[Unit]]&amp;Table1[[#This Row],[Column13]]</f>
        <v/>
      </c>
      <c r="AG167"/>
      <c r="AH167"/>
      <c r="AI167"/>
    </row>
    <row r="168" spans="1:35">
      <c r="A168" s="234">
        <f ca="1">IF(Table1[[#This Row],[No. Invoice :]]="","",ROW())</f>
        <v>168</v>
      </c>
      <c r="B168" s="428">
        <f ca="1">IF(Table1[[#This Row],[Column3]]="","",B$1+COUNT(INDIRECT("B$2:B"&amp;ROW()-1)))</f>
        <v>24050035</v>
      </c>
      <c r="C168" s="235">
        <f>IF(Table1[[#This Row],[Column2]]="","",Table1[[#This Row],[Column2]]+C$1-1)</f>
        <v>45439</v>
      </c>
      <c r="D168" s="429">
        <v>27</v>
      </c>
      <c r="E168" s="236" t="s">
        <v>423</v>
      </c>
      <c r="F168" s="234" t="s">
        <v>89</v>
      </c>
      <c r="G168" s="234" t="str">
        <f ca="1">IF(Table1[[#This Row],[h_No. Invoice :]]="","",CONCATENATE("AM"," ",Table1[[#This Row],[h_No. Invoice :]]))</f>
        <v>AM 24050035</v>
      </c>
      <c r="H168" s="428" t="str">
        <f>IF(Table1[[#This Row],[Column5]]="","",INDEX(Table2[Column1],MATCH(Table1[[#This Row],[Column5]],Table2[a],0)))</f>
        <v>G</v>
      </c>
      <c r="I168" s="234" t="str">
        <f>IF(Table1[[#This Row],[Column3]]=0,"",CONCATENATE(UPPER(Table1[[#This Row],[Column3]])," ",Table1[[#This Row],[Column4]]))</f>
        <v>G 5000</v>
      </c>
      <c r="J168" s="234" t="str">
        <f>IF(Table1[[#This Row],[Column5]]="","",INDEX(Table2[e],IF(Table1[[#This Row],[Column5]]="","",MATCH(Table1[[#This Row],[Column5]],Table2[a],0)),))</f>
        <v>LILY JULIAWATI (REJO AGUNG) JOMBANG</v>
      </c>
      <c r="K168" s="234">
        <v>144</v>
      </c>
      <c r="L168" s="234" t="s">
        <v>186</v>
      </c>
      <c r="M168" s="234">
        <v>1</v>
      </c>
      <c r="N168" s="234" t="s">
        <v>421</v>
      </c>
      <c r="O168" s="428" t="str">
        <f>IF(Table1[[#This Row],[h_Item Description]]="","",INDEX([1]!db[NB PAJAK],MATCH(Table1[[#This Row],[h_Item Description]],[1]!db[kode],0)))</f>
        <v>GEL PEN KENKO HI-TECH-H 0.28 MM HITAM</v>
      </c>
      <c r="P168" s="234" t="s">
        <v>422</v>
      </c>
      <c r="Q168" s="237">
        <v>39000</v>
      </c>
      <c r="R168" s="238">
        <v>0.125</v>
      </c>
      <c r="S168" s="238"/>
      <c r="T168" s="431">
        <f>Table1[[#This Row],[h_hargasetelahdiskon]]</f>
        <v>4914000</v>
      </c>
      <c r="U168" s="237" t="s">
        <v>129</v>
      </c>
      <c r="V168" s="234"/>
      <c r="W168" s="234">
        <f ca="1">IF(Table1[[#This Row],[Column12]]="","",IF(Table1[[#This Row],[//]]="",INDIRECT(ADDRESS(ROW()-1,COLUMN())),Table1[[#This Row],[//]]))</f>
        <v>168</v>
      </c>
      <c r="X168" s="234">
        <f ca="1">IF(Table1[[#This Row],[h_id]]="","",COUNTIF(Table1[h_id],Table1[[#This Row],[h_id]]))</f>
        <v>1</v>
      </c>
      <c r="Y168" s="237">
        <f>IF(Table1[[#This Row],[Column12]]="","",Table1[[#This Row],[Qty]]*Table1[[#This Row],[Column13]])</f>
        <v>5616000</v>
      </c>
      <c r="Z168" s="431">
        <f>IF(Table1[[#This Row],[h_hargasebelumdiskon]]="","",IF(Table1[[#This Row],[Column14]]="",0,Table1[[#This Row],[h_hargasebelumdiskon]]*Table1[[#This Row],[Column14]]))</f>
        <v>702000</v>
      </c>
      <c r="AA168" s="431">
        <f>IF(Table1[[#This Row],[h_hargasebelumdiskon]]="","",IF(Table1[[#This Row],[Column15]]="",0,(Table1[[#This Row],[h_hargasebelumdiskon]]-Table1[[#This Row],[h_disc 1]])*Table1[[#This Row],[Column15]]))</f>
        <v>0</v>
      </c>
      <c r="AB168" s="237">
        <f>IF(Table1[[#This Row],[Column12]]="","",Table1[[#This Row],[h_disc 1]]+Table1[[#This Row],[h_disc 2]])</f>
        <v>702000</v>
      </c>
      <c r="AC168" s="237">
        <f>IF(Table1[[#This Row],[Column12]]="","",Table1[[#This Row],[h_hargasebelumdiskon]]-Table1[[#This Row],[h_diskon]])</f>
        <v>4914000</v>
      </c>
      <c r="AD168" s="237">
        <f ca="1">IF(Table1[[#This Row],[//]]="","",SUMIF(Table1[h_id],Table1[[#This Row],[h_id]],Table1[h_hargasetelahdiskon]))</f>
        <v>4914000</v>
      </c>
      <c r="AF168" s="237" t="str">
        <f>Table1[[#This Row],[Column12]]&amp;Table1[[#This Row],[Unit]]&amp;Table1[[#This Row],[Column13]]</f>
        <v>GEL PEN KENKO HI-TECH-H 0.28 MM HITAMLSN39000</v>
      </c>
      <c r="AG168"/>
      <c r="AH168"/>
      <c r="AI168"/>
    </row>
    <row r="169" spans="1:35">
      <c r="A169" s="577" t="str">
        <f ca="1">IF(Table1[[#This Row],[No. Invoice :]]="","",ROW())</f>
        <v/>
      </c>
      <c r="B169" s="578" t="str">
        <f ca="1">IF(Table1[[#This Row],[Column3]]="","",B$1+COUNT(INDIRECT("B$2:B"&amp;ROW()-1)))</f>
        <v/>
      </c>
      <c r="C169" s="579" t="str">
        <f>IF(Table1[[#This Row],[Column2]]="","",Table1[[#This Row],[Column2]]+C$1-1)</f>
        <v/>
      </c>
      <c r="D169" s="580"/>
      <c r="E169" s="581"/>
      <c r="F169" s="582"/>
      <c r="G169" s="577" t="str">
        <f ca="1">IF(Table1[[#This Row],[h_No. Invoice :]]="","",CONCATENATE("AM"," ",Table1[[#This Row],[h_No. Invoice :]]))</f>
        <v/>
      </c>
      <c r="H169" s="578" t="str">
        <f>IF(Table1[[#This Row],[Column5]]="","",INDEX(Table2[Column1],MATCH(Table1[[#This Row],[Column5]],Table2[a],0)))</f>
        <v/>
      </c>
      <c r="I169" s="577" t="str">
        <f>IF(Table1[[#This Row],[Column3]]=0,"",CONCATENATE(UPPER(Table1[[#This Row],[Column3]])," ",Table1[[#This Row],[Column4]]))</f>
        <v xml:space="preserve"> </v>
      </c>
      <c r="J169" s="577" t="str">
        <f>IF(Table1[[#This Row],[Column5]]="","",INDEX(Table2[e],IF(Table1[[#This Row],[Column5]]="","",MATCH(Table1[[#This Row],[Column5]],Table2[a],0)),))</f>
        <v/>
      </c>
      <c r="K169" s="583"/>
      <c r="L169" s="583"/>
      <c r="M169" s="583"/>
      <c r="N169" s="582"/>
      <c r="O169" s="578" t="str">
        <f>IF(Table1[[#This Row],[h_Item Description]]="","",INDEX([1]!db[NB PAJAK],MATCH(Table1[[#This Row],[h_Item Description]],[1]!db[kode],0)))</f>
        <v/>
      </c>
      <c r="P169" s="583"/>
      <c r="Q169" s="584"/>
      <c r="R169" s="585"/>
      <c r="S169" s="585"/>
      <c r="T169" s="586" t="str">
        <f>Table1[[#This Row],[h_hargasetelahdiskon]]</f>
        <v/>
      </c>
      <c r="U169" s="584"/>
      <c r="V169" s="583"/>
      <c r="W169" s="577" t="str">
        <f ca="1">IF(Table1[[#This Row],[Column12]]="","",IF(Table1[[#This Row],[//]]="",INDIRECT(ADDRESS(ROW()-1,COLUMN())),Table1[[#This Row],[//]]))</f>
        <v/>
      </c>
      <c r="X169" s="577" t="str">
        <f ca="1">IF(Table1[[#This Row],[h_id]]="","",COUNTIF(Table1[h_id],Table1[[#This Row],[h_id]]))</f>
        <v/>
      </c>
      <c r="Y169" s="584" t="str">
        <f>IF(Table1[[#This Row],[Column12]]="","",Table1[[#This Row],[Qty]]*Table1[[#This Row],[Column13]])</f>
        <v/>
      </c>
      <c r="Z169" s="586" t="str">
        <f>IF(Table1[[#This Row],[h_hargasebelumdiskon]]="","",IF(Table1[[#This Row],[Column14]]="",0,Table1[[#This Row],[h_hargasebelumdiskon]]*Table1[[#This Row],[Column14]]))</f>
        <v/>
      </c>
      <c r="AA169" s="586" t="str">
        <f>IF(Table1[[#This Row],[h_hargasebelumdiskon]]="","",IF(Table1[[#This Row],[Column15]]="",0,(Table1[[#This Row],[h_hargasebelumdiskon]]-Table1[[#This Row],[h_disc 1]])*Table1[[#This Row],[Column15]]))</f>
        <v/>
      </c>
      <c r="AB169" s="584" t="str">
        <f>IF(Table1[[#This Row],[Column12]]="","",Table1[[#This Row],[h_disc 1]]+Table1[[#This Row],[h_disc 2]])</f>
        <v/>
      </c>
      <c r="AC169" s="584" t="str">
        <f>IF(Table1[[#This Row],[Column12]]="","",Table1[[#This Row],[h_hargasebelumdiskon]]-Table1[[#This Row],[h_diskon]])</f>
        <v/>
      </c>
      <c r="AD169" s="584" t="str">
        <f ca="1">IF(Table1[[#This Row],[//]]="","",SUMIF(Table1[h_id],Table1[[#This Row],[h_id]],Table1[h_hargasetelahdiskon]))</f>
        <v/>
      </c>
      <c r="AE169" s="584"/>
      <c r="AF169" s="584" t="str">
        <f>Table1[[#This Row],[Column12]]&amp;Table1[[#This Row],[Unit]]&amp;Table1[[#This Row],[Column13]]</f>
        <v/>
      </c>
      <c r="AG169"/>
      <c r="AH169"/>
      <c r="AI169"/>
    </row>
    <row r="170" spans="1:35">
      <c r="A170" s="577">
        <f ca="1">IF(Table1[[#This Row],[No. Invoice :]]="","",ROW())</f>
        <v>170</v>
      </c>
      <c r="B170" s="578">
        <f ca="1">IF(Table1[[#This Row],[Column3]]="","",B$1+COUNT(INDIRECT("B$2:B"&amp;ROW()-1)))</f>
        <v>24050036</v>
      </c>
      <c r="C170" s="579">
        <f>IF(Table1[[#This Row],[Column2]]="","",Table1[[#This Row],[Column2]]+C$1-1)</f>
        <v>45412</v>
      </c>
      <c r="D170" s="580">
        <v>0</v>
      </c>
      <c r="E170" s="581" t="s">
        <v>401</v>
      </c>
      <c r="F170" s="582">
        <v>0</v>
      </c>
      <c r="G170" s="577" t="str">
        <f ca="1">IF(Table1[[#This Row],[h_No. Invoice :]]="","",CONCATENATE("AM"," ",Table1[[#This Row],[h_No. Invoice :]]))</f>
        <v>AM 24050036</v>
      </c>
      <c r="H170" s="578">
        <f>IF(Table1[[#This Row],[Column5]]="","",INDEX(Table2[Column1],MATCH(Table1[[#This Row],[Column5]],Table2[a],0)))</f>
        <v>0</v>
      </c>
      <c r="I170" s="577" t="str">
        <f>IF(Table1[[#This Row],[Column3]]=0,"",CONCATENATE(UPPER(Table1[[#This Row],[Column3]])," ",Table1[[#This Row],[Column4]]))</f>
        <v/>
      </c>
      <c r="J170" s="577" t="str">
        <f>IF(Table1[[#This Row],[Column5]]="","",INDEX(Table2[e],IF(Table1[[#This Row],[Column5]]="","",MATCH(Table1[[#This Row],[Column5]],Table2[a],0)),))</f>
        <v>0 0 0</v>
      </c>
      <c r="K170" s="583"/>
      <c r="L170" s="583"/>
      <c r="M170" s="583"/>
      <c r="N170" s="582"/>
      <c r="O170" s="578" t="str">
        <f>IF(Table1[[#This Row],[h_Item Description]]="","",INDEX([1]!db[NB PAJAK],MATCH(Table1[[#This Row],[h_Item Description]],[1]!db[kode],0)))</f>
        <v/>
      </c>
      <c r="P170" s="583"/>
      <c r="Q170" s="584"/>
      <c r="R170" s="585"/>
      <c r="S170" s="585"/>
      <c r="T170" s="586" t="str">
        <f>Table1[[#This Row],[h_hargasetelahdiskon]]</f>
        <v/>
      </c>
      <c r="U170" s="584"/>
      <c r="V170" s="583"/>
      <c r="W170" s="577" t="str">
        <f ca="1">IF(Table1[[#This Row],[Column12]]="","",IF(Table1[[#This Row],[//]]="",INDIRECT(ADDRESS(ROW()-1,COLUMN())),Table1[[#This Row],[//]]))</f>
        <v/>
      </c>
      <c r="X170" s="577" t="str">
        <f ca="1">IF(Table1[[#This Row],[h_id]]="","",COUNTIF(Table1[h_id],Table1[[#This Row],[h_id]]))</f>
        <v/>
      </c>
      <c r="Y170" s="584" t="str">
        <f>IF(Table1[[#This Row],[Column12]]="","",Table1[[#This Row],[Qty]]*Table1[[#This Row],[Column13]])</f>
        <v/>
      </c>
      <c r="Z170" s="586" t="str">
        <f>IF(Table1[[#This Row],[h_hargasebelumdiskon]]="","",IF(Table1[[#This Row],[Column14]]="",0,Table1[[#This Row],[h_hargasebelumdiskon]]*Table1[[#This Row],[Column14]]))</f>
        <v/>
      </c>
      <c r="AA170" s="586" t="str">
        <f>IF(Table1[[#This Row],[h_hargasebelumdiskon]]="","",IF(Table1[[#This Row],[Column15]]="",0,(Table1[[#This Row],[h_hargasebelumdiskon]]-Table1[[#This Row],[h_disc 1]])*Table1[[#This Row],[Column15]]))</f>
        <v/>
      </c>
      <c r="AB170" s="584" t="str">
        <f>IF(Table1[[#This Row],[Column12]]="","",Table1[[#This Row],[h_disc 1]]+Table1[[#This Row],[h_disc 2]])</f>
        <v/>
      </c>
      <c r="AC170" s="584" t="str">
        <f>IF(Table1[[#This Row],[Column12]]="","",Table1[[#This Row],[h_hargasebelumdiskon]]-Table1[[#This Row],[h_diskon]])</f>
        <v/>
      </c>
      <c r="AD170" s="584">
        <f ca="1">IF(Table1[[#This Row],[//]]="","",SUMIF(Table1[h_id],Table1[[#This Row],[h_id]],Table1[h_hargasetelahdiskon]))</f>
        <v>0</v>
      </c>
      <c r="AE170" s="584"/>
      <c r="AF170" s="584" t="str">
        <f>Table1[[#This Row],[Column12]]&amp;Table1[[#This Row],[Unit]]&amp;Table1[[#This Row],[Column13]]</f>
        <v/>
      </c>
      <c r="AG170"/>
      <c r="AH170"/>
      <c r="AI170"/>
    </row>
    <row r="171" spans="1:35">
      <c r="A171" s="577" t="str">
        <f ca="1">IF(Table1[[#This Row],[No. Invoice :]]="","",ROW())</f>
        <v/>
      </c>
      <c r="B171" s="578" t="str">
        <f ca="1">IF(Table1[[#This Row],[Column3]]="","",B$1+COUNT(INDIRECT("B$2:B"&amp;ROW()-1)))</f>
        <v/>
      </c>
      <c r="C171" s="579" t="str">
        <f>IF(Table1[[#This Row],[Column2]]="","",Table1[[#This Row],[Column2]]+C$1-1)</f>
        <v/>
      </c>
      <c r="D171" s="580"/>
      <c r="E171" s="581"/>
      <c r="F171" s="582"/>
      <c r="G171" s="577" t="str">
        <f ca="1">IF(Table1[[#This Row],[h_No. Invoice :]]="","",CONCATENATE("AM"," ",Table1[[#This Row],[h_No. Invoice :]]))</f>
        <v/>
      </c>
      <c r="H171" s="578" t="str">
        <f>IF(Table1[[#This Row],[Column5]]="","",INDEX(Table2[Column1],MATCH(Table1[[#This Row],[Column5]],Table2[a],0)))</f>
        <v/>
      </c>
      <c r="I171" s="577" t="str">
        <f>IF(Table1[[#This Row],[Column3]]=0,"",CONCATENATE(UPPER(Table1[[#This Row],[Column3]])," ",Table1[[#This Row],[Column4]]))</f>
        <v xml:space="preserve"> </v>
      </c>
      <c r="J171" s="577" t="str">
        <f>IF(Table1[[#This Row],[Column5]]="","",INDEX(Table2[e],IF(Table1[[#This Row],[Column5]]="","",MATCH(Table1[[#This Row],[Column5]],Table2[a],0)),))</f>
        <v/>
      </c>
      <c r="K171" s="583"/>
      <c r="L171" s="583"/>
      <c r="M171" s="583"/>
      <c r="N171" s="582"/>
      <c r="O171" s="578" t="str">
        <f>IF(Table1[[#This Row],[h_Item Description]]="","",INDEX([1]!db[NB PAJAK],MATCH(Table1[[#This Row],[h_Item Description]],[1]!db[kode],0)))</f>
        <v/>
      </c>
      <c r="P171" s="583"/>
      <c r="Q171" s="584"/>
      <c r="R171" s="585"/>
      <c r="S171" s="585"/>
      <c r="T171" s="586" t="str">
        <f>Table1[[#This Row],[h_hargasetelahdiskon]]</f>
        <v/>
      </c>
      <c r="U171" s="584"/>
      <c r="V171" s="583"/>
      <c r="W171" s="577" t="str">
        <f ca="1">IF(Table1[[#This Row],[Column12]]="","",IF(Table1[[#This Row],[//]]="",INDIRECT(ADDRESS(ROW()-1,COLUMN())),Table1[[#This Row],[//]]))</f>
        <v/>
      </c>
      <c r="X171" s="577" t="str">
        <f ca="1">IF(Table1[[#This Row],[h_id]]="","",COUNTIF(Table1[h_id],Table1[[#This Row],[h_id]]))</f>
        <v/>
      </c>
      <c r="Y171" s="584" t="str">
        <f>IF(Table1[[#This Row],[Column12]]="","",Table1[[#This Row],[Qty]]*Table1[[#This Row],[Column13]])</f>
        <v/>
      </c>
      <c r="Z171" s="586" t="str">
        <f>IF(Table1[[#This Row],[h_hargasebelumdiskon]]="","",IF(Table1[[#This Row],[Column14]]="",0,Table1[[#This Row],[h_hargasebelumdiskon]]*Table1[[#This Row],[Column14]]))</f>
        <v/>
      </c>
      <c r="AA171" s="586" t="str">
        <f>IF(Table1[[#This Row],[h_hargasebelumdiskon]]="","",IF(Table1[[#This Row],[Column15]]="",0,(Table1[[#This Row],[h_hargasebelumdiskon]]-Table1[[#This Row],[h_disc 1]])*Table1[[#This Row],[Column15]]))</f>
        <v/>
      </c>
      <c r="AB171" s="584" t="str">
        <f>IF(Table1[[#This Row],[Column12]]="","",Table1[[#This Row],[h_disc 1]]+Table1[[#This Row],[h_disc 2]])</f>
        <v/>
      </c>
      <c r="AC171" s="584" t="str">
        <f>IF(Table1[[#This Row],[Column12]]="","",Table1[[#This Row],[h_hargasebelumdiskon]]-Table1[[#This Row],[h_diskon]])</f>
        <v/>
      </c>
      <c r="AD171" s="584" t="str">
        <f ca="1">IF(Table1[[#This Row],[//]]="","",SUMIF(Table1[h_id],Table1[[#This Row],[h_id]],Table1[h_hargasetelahdiskon]))</f>
        <v/>
      </c>
      <c r="AE171" s="584"/>
      <c r="AF171" s="584" t="str">
        <f>Table1[[#This Row],[Column12]]&amp;Table1[[#This Row],[Unit]]&amp;Table1[[#This Row],[Column13]]</f>
        <v/>
      </c>
      <c r="AG171"/>
      <c r="AH171"/>
      <c r="AI171"/>
    </row>
    <row r="172" spans="1:35">
      <c r="A172" s="577">
        <f ca="1">IF(Table1[[#This Row],[No. Invoice :]]="","",ROW())</f>
        <v>172</v>
      </c>
      <c r="B172" s="578">
        <f ca="1">IF(Table1[[#This Row],[Column3]]="","",B$1+COUNT(INDIRECT("B$2:B"&amp;ROW()-1)))</f>
        <v>24050037</v>
      </c>
      <c r="C172" s="579">
        <f>IF(Table1[[#This Row],[Column2]]="","",Table1[[#This Row],[Column2]]+C$1-1)</f>
        <v>45412</v>
      </c>
      <c r="D172" s="580">
        <v>0</v>
      </c>
      <c r="E172" s="581" t="s">
        <v>401</v>
      </c>
      <c r="F172" s="582">
        <v>0</v>
      </c>
      <c r="G172" s="577" t="str">
        <f ca="1">IF(Table1[[#This Row],[h_No. Invoice :]]="","",CONCATENATE("AM"," ",Table1[[#This Row],[h_No. Invoice :]]))</f>
        <v>AM 24050037</v>
      </c>
      <c r="H172" s="578">
        <f>IF(Table1[[#This Row],[Column5]]="","",INDEX(Table2[Column1],MATCH(Table1[[#This Row],[Column5]],Table2[a],0)))</f>
        <v>0</v>
      </c>
      <c r="I172" s="577" t="str">
        <f>IF(Table1[[#This Row],[Column3]]=0,"",CONCATENATE(UPPER(Table1[[#This Row],[Column3]])," ",Table1[[#This Row],[Column4]]))</f>
        <v/>
      </c>
      <c r="J172" s="577" t="str">
        <f>IF(Table1[[#This Row],[Column5]]="","",INDEX(Table2[e],IF(Table1[[#This Row],[Column5]]="","",MATCH(Table1[[#This Row],[Column5]],Table2[a],0)),))</f>
        <v>0 0 0</v>
      </c>
      <c r="K172" s="583"/>
      <c r="L172" s="583"/>
      <c r="M172" s="583"/>
      <c r="N172" s="582"/>
      <c r="O172" s="578" t="str">
        <f>IF(Table1[[#This Row],[h_Item Description]]="","",INDEX([1]!db[NB PAJAK],MATCH(Table1[[#This Row],[h_Item Description]],[1]!db[kode],0)))</f>
        <v/>
      </c>
      <c r="P172" s="583"/>
      <c r="Q172" s="584"/>
      <c r="R172" s="585"/>
      <c r="S172" s="585"/>
      <c r="T172" s="586" t="str">
        <f>Table1[[#This Row],[h_hargasetelahdiskon]]</f>
        <v/>
      </c>
      <c r="U172" s="584"/>
      <c r="V172" s="583"/>
      <c r="W172" s="577" t="str">
        <f ca="1">IF(Table1[[#This Row],[Column12]]="","",IF(Table1[[#This Row],[//]]="",INDIRECT(ADDRESS(ROW()-1,COLUMN())),Table1[[#This Row],[//]]))</f>
        <v/>
      </c>
      <c r="X172" s="577" t="str">
        <f ca="1">IF(Table1[[#This Row],[h_id]]="","",COUNTIF(Table1[h_id],Table1[[#This Row],[h_id]]))</f>
        <v/>
      </c>
      <c r="Y172" s="584" t="str">
        <f>IF(Table1[[#This Row],[Column12]]="","",Table1[[#This Row],[Qty]]*Table1[[#This Row],[Column13]])</f>
        <v/>
      </c>
      <c r="Z172" s="586" t="str">
        <f>IF(Table1[[#This Row],[h_hargasebelumdiskon]]="","",IF(Table1[[#This Row],[Column14]]="",0,Table1[[#This Row],[h_hargasebelumdiskon]]*Table1[[#This Row],[Column14]]))</f>
        <v/>
      </c>
      <c r="AA172" s="586" t="str">
        <f>IF(Table1[[#This Row],[h_hargasebelumdiskon]]="","",IF(Table1[[#This Row],[Column15]]="",0,(Table1[[#This Row],[h_hargasebelumdiskon]]-Table1[[#This Row],[h_disc 1]])*Table1[[#This Row],[Column15]]))</f>
        <v/>
      </c>
      <c r="AB172" s="584" t="str">
        <f>IF(Table1[[#This Row],[Column12]]="","",Table1[[#This Row],[h_disc 1]]+Table1[[#This Row],[h_disc 2]])</f>
        <v/>
      </c>
      <c r="AC172" s="584" t="str">
        <f>IF(Table1[[#This Row],[Column12]]="","",Table1[[#This Row],[h_hargasebelumdiskon]]-Table1[[#This Row],[h_diskon]])</f>
        <v/>
      </c>
      <c r="AD172" s="584">
        <f ca="1">IF(Table1[[#This Row],[//]]="","",SUMIF(Table1[h_id],Table1[[#This Row],[h_id]],Table1[h_hargasetelahdiskon]))</f>
        <v>0</v>
      </c>
      <c r="AE172" s="584"/>
      <c r="AF172" s="584" t="str">
        <f>Table1[[#This Row],[Column12]]&amp;Table1[[#This Row],[Unit]]&amp;Table1[[#This Row],[Column13]]</f>
        <v/>
      </c>
      <c r="AG172"/>
      <c r="AH172"/>
      <c r="AI172"/>
    </row>
    <row r="173" spans="1:35">
      <c r="A173" s="577" t="str">
        <f ca="1">IF(Table1[[#This Row],[No. Invoice :]]="","",ROW())</f>
        <v/>
      </c>
      <c r="B173" s="578" t="str">
        <f ca="1">IF(Table1[[#This Row],[Column3]]="","",B$1+COUNT(INDIRECT("B$2:B"&amp;ROW()-1)))</f>
        <v/>
      </c>
      <c r="C173" s="579" t="str">
        <f>IF(Table1[[#This Row],[Column2]]="","",Table1[[#This Row],[Column2]]+C$1-1)</f>
        <v/>
      </c>
      <c r="D173" s="580"/>
      <c r="E173" s="581"/>
      <c r="F173" s="582"/>
      <c r="G173" s="577" t="str">
        <f ca="1">IF(Table1[[#This Row],[h_No. Invoice :]]="","",CONCATENATE("AM"," ",Table1[[#This Row],[h_No. Invoice :]]))</f>
        <v/>
      </c>
      <c r="H173" s="578" t="str">
        <f>IF(Table1[[#This Row],[Column5]]="","",INDEX(Table2[Column1],MATCH(Table1[[#This Row],[Column5]],Table2[a],0)))</f>
        <v/>
      </c>
      <c r="I173" s="577" t="str">
        <f>IF(Table1[[#This Row],[Column3]]=0,"",CONCATENATE(UPPER(Table1[[#This Row],[Column3]])," ",Table1[[#This Row],[Column4]]))</f>
        <v xml:space="preserve"> </v>
      </c>
      <c r="J173" s="577" t="str">
        <f>IF(Table1[[#This Row],[Column5]]="","",INDEX(Table2[e],IF(Table1[[#This Row],[Column5]]="","",MATCH(Table1[[#This Row],[Column5]],Table2[a],0)),))</f>
        <v/>
      </c>
      <c r="K173" s="583"/>
      <c r="L173" s="583"/>
      <c r="M173" s="583"/>
      <c r="N173" s="582"/>
      <c r="O173" s="578" t="str">
        <f>IF(Table1[[#This Row],[h_Item Description]]="","",INDEX([1]!db[NB PAJAK],MATCH(Table1[[#This Row],[h_Item Description]],[1]!db[kode],0)))</f>
        <v/>
      </c>
      <c r="P173" s="583"/>
      <c r="Q173" s="584"/>
      <c r="R173" s="585"/>
      <c r="S173" s="585"/>
      <c r="T173" s="586" t="str">
        <f>Table1[[#This Row],[h_hargasetelahdiskon]]</f>
        <v/>
      </c>
      <c r="U173" s="584"/>
      <c r="V173" s="583"/>
      <c r="W173" s="577" t="str">
        <f ca="1">IF(Table1[[#This Row],[Column12]]="","",IF(Table1[[#This Row],[//]]="",INDIRECT(ADDRESS(ROW()-1,COLUMN())),Table1[[#This Row],[//]]))</f>
        <v/>
      </c>
      <c r="X173" s="577" t="str">
        <f ca="1">IF(Table1[[#This Row],[h_id]]="","",COUNTIF(Table1[h_id],Table1[[#This Row],[h_id]]))</f>
        <v/>
      </c>
      <c r="Y173" s="584" t="str">
        <f>IF(Table1[[#This Row],[Column12]]="","",Table1[[#This Row],[Qty]]*Table1[[#This Row],[Column13]])</f>
        <v/>
      </c>
      <c r="Z173" s="586" t="str">
        <f>IF(Table1[[#This Row],[h_hargasebelumdiskon]]="","",IF(Table1[[#This Row],[Column14]]="",0,Table1[[#This Row],[h_hargasebelumdiskon]]*Table1[[#This Row],[Column14]]))</f>
        <v/>
      </c>
      <c r="AA173" s="586" t="str">
        <f>IF(Table1[[#This Row],[h_hargasebelumdiskon]]="","",IF(Table1[[#This Row],[Column15]]="",0,(Table1[[#This Row],[h_hargasebelumdiskon]]-Table1[[#This Row],[h_disc 1]])*Table1[[#This Row],[Column15]]))</f>
        <v/>
      </c>
      <c r="AB173" s="584" t="str">
        <f>IF(Table1[[#This Row],[Column12]]="","",Table1[[#This Row],[h_disc 1]]+Table1[[#This Row],[h_disc 2]])</f>
        <v/>
      </c>
      <c r="AC173" s="584" t="str">
        <f>IF(Table1[[#This Row],[Column12]]="","",Table1[[#This Row],[h_hargasebelumdiskon]]-Table1[[#This Row],[h_diskon]])</f>
        <v/>
      </c>
      <c r="AD173" s="584" t="str">
        <f ca="1">IF(Table1[[#This Row],[//]]="","",SUMIF(Table1[h_id],Table1[[#This Row],[h_id]],Table1[h_hargasetelahdiskon]))</f>
        <v/>
      </c>
      <c r="AE173" s="584"/>
      <c r="AF173" s="584" t="str">
        <f>Table1[[#This Row],[Column12]]&amp;Table1[[#This Row],[Unit]]&amp;Table1[[#This Row],[Column13]]</f>
        <v/>
      </c>
      <c r="AG173"/>
      <c r="AH173"/>
      <c r="AI173"/>
    </row>
    <row r="174" spans="1:35">
      <c r="A174" s="577" t="str">
        <f ca="1">IF(Table1[[#This Row],[No. Invoice :]]="","",ROW())</f>
        <v/>
      </c>
      <c r="B174" s="578" t="str">
        <f ca="1">IF(Table1[[#This Row],[Column3]]="","",B$1+COUNT(INDIRECT("B$2:B"&amp;ROW()-1)))</f>
        <v/>
      </c>
      <c r="C174" s="579" t="str">
        <f>IF(Table1[[#This Row],[Column2]]="","",Table1[[#This Row],[Column2]]+C$1-1)</f>
        <v/>
      </c>
      <c r="D174" s="580"/>
      <c r="E174" s="581"/>
      <c r="F174" s="582"/>
      <c r="G174" s="577" t="str">
        <f ca="1">IF(Table1[[#This Row],[h_No. Invoice :]]="","",CONCATENATE("AM"," ",Table1[[#This Row],[h_No. Invoice :]]))</f>
        <v/>
      </c>
      <c r="H174" s="578" t="str">
        <f>IF(Table1[[#This Row],[Column5]]="","",INDEX(Table2[Column1],MATCH(Table1[[#This Row],[Column5]],Table2[a],0)))</f>
        <v/>
      </c>
      <c r="I174" s="577" t="str">
        <f>IF(Table1[[#This Row],[Column3]]=0,"",CONCATENATE(UPPER(Table1[[#This Row],[Column3]])," ",Table1[[#This Row],[Column4]]))</f>
        <v xml:space="preserve"> </v>
      </c>
      <c r="J174" s="577" t="str">
        <f>IF(Table1[[#This Row],[Column5]]="","",INDEX(Table2[e],IF(Table1[[#This Row],[Column5]]="","",MATCH(Table1[[#This Row],[Column5]],Table2[a],0)),))</f>
        <v/>
      </c>
      <c r="K174" s="583"/>
      <c r="L174" s="583"/>
      <c r="M174" s="583"/>
      <c r="N174" s="582"/>
      <c r="O174" s="578" t="str">
        <f>IF(Table1[[#This Row],[h_Item Description]]="","",INDEX([1]!db[NB PAJAK],MATCH(Table1[[#This Row],[h_Item Description]],[1]!db[kode],0)))</f>
        <v/>
      </c>
      <c r="P174" s="583"/>
      <c r="Q174" s="584"/>
      <c r="R174" s="585"/>
      <c r="S174" s="585"/>
      <c r="T174" s="586" t="str">
        <f>Table1[[#This Row],[h_hargasetelahdiskon]]</f>
        <v/>
      </c>
      <c r="U174" s="584"/>
      <c r="V174" s="583"/>
      <c r="W174" s="577" t="str">
        <f ca="1">IF(Table1[[#This Row],[Column12]]="","",IF(Table1[[#This Row],[//]]="",INDIRECT(ADDRESS(ROW()-1,COLUMN())),Table1[[#This Row],[//]]))</f>
        <v/>
      </c>
      <c r="X174" s="577" t="str">
        <f ca="1">IF(Table1[[#This Row],[h_id]]="","",COUNTIF(Table1[h_id],Table1[[#This Row],[h_id]]))</f>
        <v/>
      </c>
      <c r="Y174" s="584" t="str">
        <f>IF(Table1[[#This Row],[Column12]]="","",Table1[[#This Row],[Qty]]*Table1[[#This Row],[Column13]])</f>
        <v/>
      </c>
      <c r="Z174" s="586" t="str">
        <f>IF(Table1[[#This Row],[h_hargasebelumdiskon]]="","",IF(Table1[[#This Row],[Column14]]="",0,Table1[[#This Row],[h_hargasebelumdiskon]]*Table1[[#This Row],[Column14]]))</f>
        <v/>
      </c>
      <c r="AA174" s="586" t="str">
        <f>IF(Table1[[#This Row],[h_hargasebelumdiskon]]="","",IF(Table1[[#This Row],[Column15]]="",0,(Table1[[#This Row],[h_hargasebelumdiskon]]-Table1[[#This Row],[h_disc 1]])*Table1[[#This Row],[Column15]]))</f>
        <v/>
      </c>
      <c r="AB174" s="584" t="str">
        <f>IF(Table1[[#This Row],[Column12]]="","",Table1[[#This Row],[h_disc 1]]+Table1[[#This Row],[h_disc 2]])</f>
        <v/>
      </c>
      <c r="AC174" s="584" t="str">
        <f>IF(Table1[[#This Row],[Column12]]="","",Table1[[#This Row],[h_hargasebelumdiskon]]-Table1[[#This Row],[h_diskon]])</f>
        <v/>
      </c>
      <c r="AD174" s="584" t="str">
        <f ca="1">IF(Table1[[#This Row],[//]]="","",SUMIF(Table1[h_id],Table1[[#This Row],[h_id]],Table1[h_hargasetelahdiskon]))</f>
        <v/>
      </c>
      <c r="AE174" s="584"/>
      <c r="AF174" s="584" t="str">
        <f>Table1[[#This Row],[Column12]]&amp;Table1[[#This Row],[Unit]]&amp;Table1[[#This Row],[Column13]]</f>
        <v/>
      </c>
      <c r="AG174"/>
      <c r="AH174"/>
      <c r="AI174"/>
    </row>
    <row r="175" spans="1:35">
      <c r="A175" s="577" t="str">
        <f ca="1">IF(Table1[[#This Row],[No. Invoice :]]="","",ROW())</f>
        <v/>
      </c>
      <c r="B175" s="578" t="str">
        <f ca="1">IF(Table1[[#This Row],[Column3]]="","",B$1+COUNT(INDIRECT("B$2:B"&amp;ROW()-1)))</f>
        <v/>
      </c>
      <c r="C175" s="579" t="str">
        <f>IF(Table1[[#This Row],[Column2]]="","",Table1[[#This Row],[Column2]]+C$1-1)</f>
        <v/>
      </c>
      <c r="D175" s="580"/>
      <c r="E175" s="581"/>
      <c r="F175" s="582"/>
      <c r="G175" s="577" t="str">
        <f ca="1">IF(Table1[[#This Row],[h_No. Invoice :]]="","",CONCATENATE("AM"," ",Table1[[#This Row],[h_No. Invoice :]]))</f>
        <v/>
      </c>
      <c r="H175" s="578" t="str">
        <f>IF(Table1[[#This Row],[Column5]]="","",INDEX(Table2[Column1],MATCH(Table1[[#This Row],[Column5]],Table2[a],0)))</f>
        <v/>
      </c>
      <c r="I175" s="577" t="str">
        <f>IF(Table1[[#This Row],[Column3]]=0,"",CONCATENATE(UPPER(Table1[[#This Row],[Column3]])," ",Table1[[#This Row],[Column4]]))</f>
        <v xml:space="preserve"> </v>
      </c>
      <c r="J175" s="577" t="str">
        <f>IF(Table1[[#This Row],[Column5]]="","",INDEX(Table2[e],IF(Table1[[#This Row],[Column5]]="","",MATCH(Table1[[#This Row],[Column5]],Table2[a],0)),))</f>
        <v/>
      </c>
      <c r="K175" s="583"/>
      <c r="L175" s="583"/>
      <c r="M175" s="583"/>
      <c r="N175" s="582"/>
      <c r="O175" s="578" t="str">
        <f>IF(Table1[[#This Row],[h_Item Description]]="","",INDEX([1]!db[NB PAJAK],MATCH(Table1[[#This Row],[h_Item Description]],[1]!db[kode],0)))</f>
        <v/>
      </c>
      <c r="P175" s="583"/>
      <c r="Q175" s="584"/>
      <c r="R175" s="585"/>
      <c r="S175" s="585"/>
      <c r="T175" s="586" t="str">
        <f>Table1[[#This Row],[h_hargasetelahdiskon]]</f>
        <v/>
      </c>
      <c r="U175" s="584"/>
      <c r="V175" s="583"/>
      <c r="W175" s="577" t="str">
        <f ca="1">IF(Table1[[#This Row],[Column12]]="","",IF(Table1[[#This Row],[//]]="",INDIRECT(ADDRESS(ROW()-1,COLUMN())),Table1[[#This Row],[//]]))</f>
        <v/>
      </c>
      <c r="X175" s="577" t="str">
        <f ca="1">IF(Table1[[#This Row],[h_id]]="","",COUNTIF(Table1[h_id],Table1[[#This Row],[h_id]]))</f>
        <v/>
      </c>
      <c r="Y175" s="584" t="str">
        <f>IF(Table1[[#This Row],[Column12]]="","",Table1[[#This Row],[Qty]]*Table1[[#This Row],[Column13]])</f>
        <v/>
      </c>
      <c r="Z175" s="586" t="str">
        <f>IF(Table1[[#This Row],[h_hargasebelumdiskon]]="","",IF(Table1[[#This Row],[Column14]]="",0,Table1[[#This Row],[h_hargasebelumdiskon]]*Table1[[#This Row],[Column14]]))</f>
        <v/>
      </c>
      <c r="AA175" s="586" t="str">
        <f>IF(Table1[[#This Row],[h_hargasebelumdiskon]]="","",IF(Table1[[#This Row],[Column15]]="",0,(Table1[[#This Row],[h_hargasebelumdiskon]]-Table1[[#This Row],[h_disc 1]])*Table1[[#This Row],[Column15]]))</f>
        <v/>
      </c>
      <c r="AB175" s="584" t="str">
        <f>IF(Table1[[#This Row],[Column12]]="","",Table1[[#This Row],[h_disc 1]]+Table1[[#This Row],[h_disc 2]])</f>
        <v/>
      </c>
      <c r="AC175" s="584" t="str">
        <f>IF(Table1[[#This Row],[Column12]]="","",Table1[[#This Row],[h_hargasebelumdiskon]]-Table1[[#This Row],[h_diskon]])</f>
        <v/>
      </c>
      <c r="AD175" s="584" t="str">
        <f ca="1">IF(Table1[[#This Row],[//]]="","",SUMIF(Table1[h_id],Table1[[#This Row],[h_id]],Table1[h_hargasetelahdiskon]))</f>
        <v/>
      </c>
      <c r="AE175" s="584"/>
      <c r="AF175" s="584" t="str">
        <f>Table1[[#This Row],[Column12]]&amp;Table1[[#This Row],[Unit]]&amp;Table1[[#This Row],[Column13]]</f>
        <v/>
      </c>
      <c r="AG175"/>
      <c r="AH175"/>
      <c r="AI175"/>
    </row>
    <row r="176" spans="1:35">
      <c r="A176" s="234" t="str">
        <f ca="1">IF(Table1[[#This Row],[No. Invoice :]]="","",ROW())</f>
        <v/>
      </c>
      <c r="B176" s="428" t="str">
        <f ca="1">IF(Table1[[#This Row],[Column3]]="","",B$1+COUNT(INDIRECT("B$2:B"&amp;ROW()-1)))</f>
        <v/>
      </c>
      <c r="C176" s="235" t="str">
        <f>IF(Table1[[#This Row],[Column2]]="","",Table1[[#This Row],[Column2]]+C$1-1)</f>
        <v/>
      </c>
      <c r="D176" s="429"/>
      <c r="E176" s="236"/>
      <c r="F176" s="234"/>
      <c r="G176" s="234" t="str">
        <f ca="1">IF(Table1[[#This Row],[h_No. Invoice :]]="","",CONCATENATE("AM"," ",Table1[[#This Row],[h_No. Invoice :]]))</f>
        <v/>
      </c>
      <c r="H176" s="428" t="str">
        <f>IF(Table1[[#This Row],[Column5]]="","",INDEX(Table2[Column1],MATCH(Table1[[#This Row],[Column5]],Table2[a],0)))</f>
        <v/>
      </c>
      <c r="I176" s="234" t="str">
        <f>IF(Table1[[#This Row],[Column3]]=0,"",CONCATENATE(UPPER(Table1[[#This Row],[Column3]])," ",Table1[[#This Row],[Column4]]))</f>
        <v xml:space="preserve"> </v>
      </c>
      <c r="J176" s="234" t="str">
        <f>IF(Table1[[#This Row],[Column5]]="","",INDEX(Table2[e],IF(Table1[[#This Row],[Column5]]="","",MATCH(Table1[[#This Row],[Column5]],Table2[a],0)),))</f>
        <v/>
      </c>
      <c r="K176" s="234"/>
      <c r="L176" s="234"/>
      <c r="N176" s="428"/>
      <c r="O176" s="428" t="str">
        <f>IF(Table1[[#This Row],[h_Item Description]]="","",INDEX([1]!db[NB PAJAK],MATCH(Table1[[#This Row],[h_Item Description]],[1]!db[kode],0)))</f>
        <v/>
      </c>
      <c r="Q176" s="237"/>
      <c r="R176" s="238"/>
      <c r="S176" s="238"/>
      <c r="T176" s="431" t="str">
        <f>Table1[[#This Row],[h_hargasetelahdiskon]]</f>
        <v/>
      </c>
      <c r="V176" s="234"/>
      <c r="W176" s="234" t="str">
        <f ca="1">IF(Table1[[#This Row],[Column12]]="","",IF(Table1[[#This Row],[//]]="",INDIRECT(ADDRESS(ROW()-1,COLUMN())),Table1[[#This Row],[//]]))</f>
        <v/>
      </c>
      <c r="X176" s="234" t="str">
        <f ca="1">IF(Table1[[#This Row],[h_id]]="","",COUNTIF(Table1[h_id],Table1[[#This Row],[h_id]]))</f>
        <v/>
      </c>
      <c r="Y176" s="237" t="str">
        <f>IF(Table1[[#This Row],[Column12]]="","",Table1[[#This Row],[Qty]]*Table1[[#This Row],[Column13]])</f>
        <v/>
      </c>
      <c r="Z176" s="431" t="str">
        <f>IF(Table1[[#This Row],[h_hargasebelumdiskon]]="","",IF(Table1[[#This Row],[Column14]]="",0,Table1[[#This Row],[h_hargasebelumdiskon]]*Table1[[#This Row],[Column14]]))</f>
        <v/>
      </c>
      <c r="AA176" s="431" t="str">
        <f>IF(Table1[[#This Row],[h_hargasebelumdiskon]]="","",IF(Table1[[#This Row],[Column15]]="",0,(Table1[[#This Row],[h_hargasebelumdiskon]]-Table1[[#This Row],[h_disc 1]])*Table1[[#This Row],[Column15]]))</f>
        <v/>
      </c>
      <c r="AB176" s="237" t="str">
        <f>IF(Table1[[#This Row],[Column12]]="","",Table1[[#This Row],[h_disc 1]]+Table1[[#This Row],[h_disc 2]])</f>
        <v/>
      </c>
      <c r="AC176" s="237" t="str">
        <f>IF(Table1[[#This Row],[Column12]]="","",Table1[[#This Row],[h_hargasebelumdiskon]]-Table1[[#This Row],[h_diskon]])</f>
        <v/>
      </c>
      <c r="AD176" s="237" t="str">
        <f ca="1">IF(Table1[[#This Row],[//]]="","",SUMIF(Table1[h_id],Table1[[#This Row],[h_id]],Table1[h_hargasetelahdiskon]))</f>
        <v/>
      </c>
      <c r="AF176" s="237" t="str">
        <f>Table1[[#This Row],[Column12]]&amp;Table1[[#This Row],[Unit]]&amp;Table1[[#This Row],[Column13]]</f>
        <v/>
      </c>
      <c r="AG176"/>
      <c r="AH176"/>
      <c r="AI176"/>
    </row>
    <row r="177" spans="1:35">
      <c r="A177" s="234">
        <f ca="1">IF(Table1[[#This Row],[No. Invoice :]]="","",ROW())</f>
        <v>177</v>
      </c>
      <c r="B177" s="432">
        <f ca="1">IF(Table1[[#This Row],[Column3]]="","",B$1+COUNT(INDIRECT("B$2:B"&amp;ROW()-1)))</f>
        <v>24050038</v>
      </c>
      <c r="C177" s="235">
        <f>IF(Table1[[#This Row],[Column2]]="","",Table1[[#This Row],[Column2]]+C$1-1)</f>
        <v>45441</v>
      </c>
      <c r="D177" s="433">
        <v>29</v>
      </c>
      <c r="E177" s="236" t="s">
        <v>424</v>
      </c>
      <c r="F177" s="234" t="s">
        <v>425</v>
      </c>
      <c r="G177" s="234" t="str">
        <f ca="1">IF(Table1[[#This Row],[h_No. Invoice :]]="","",CONCATENATE("AM"," ",Table1[[#This Row],[h_No. Invoice :]]))</f>
        <v>AM 24050038</v>
      </c>
      <c r="H177" s="432" t="str">
        <f>IF(Table1[[#This Row],[Column5]]="","",INDEX(Table2[Column1],MATCH(Table1[[#This Row],[Column5]],Table2[a],0)))</f>
        <v>A</v>
      </c>
      <c r="I177" s="234" t="str">
        <f>IF(Table1[[#This Row],[Column3]]=0,"",CONCATENATE(UPPER(Table1[[#This Row],[Column3]])," ",Table1[[#This Row],[Column4]]))</f>
        <v>A 4839</v>
      </c>
      <c r="J177" s="234" t="str">
        <f>IF(Table1[[#This Row],[Column5]]="","",INDEX(Table2[e],IF(Table1[[#This Row],[Column5]]="","",MATCH(Table1[[#This Row],[Column5]],Table2[a],0)),))</f>
        <v>CV GITA CAHYA ( DHIAN ) BANJARNEGARA</v>
      </c>
      <c r="K177" s="234">
        <v>12</v>
      </c>
      <c r="L177" s="234" t="s">
        <v>186</v>
      </c>
      <c r="N177" s="234" t="s">
        <v>426</v>
      </c>
      <c r="O177" s="432" t="e">
        <f>IF(Table1[[#This Row],[h_Item Description]]="","",INDEX([1]!db[NB PAJAK],MATCH(Table1[[#This Row],[h_Item Description]],[1]!db[kode],0)))</f>
        <v>#N/A</v>
      </c>
      <c r="P177" s="234" t="s">
        <v>432</v>
      </c>
      <c r="Q177" s="237">
        <v>28200</v>
      </c>
      <c r="R177" s="238">
        <v>0.1</v>
      </c>
      <c r="S177" s="238"/>
      <c r="T177" s="435">
        <f>Table1[[#This Row],[h_hargasetelahdiskon]]</f>
        <v>304560</v>
      </c>
      <c r="U177" s="237" t="s">
        <v>129</v>
      </c>
      <c r="V177" s="234"/>
      <c r="W177" s="234">
        <f ca="1">IF(Table1[[#This Row],[Column12]]="","",IF(Table1[[#This Row],[//]]="",INDIRECT(ADDRESS(ROW()-1,COLUMN())),Table1[[#This Row],[//]]))</f>
        <v>177</v>
      </c>
      <c r="X177" s="234">
        <f ca="1">IF(Table1[[#This Row],[h_id]]="","",COUNTIF(Table1[h_id],Table1[[#This Row],[h_id]]))</f>
        <v>5</v>
      </c>
      <c r="Y177" s="237">
        <f>IF(Table1[[#This Row],[Column12]]="","",Table1[[#This Row],[Qty]]*Table1[[#This Row],[Column13]])</f>
        <v>338400</v>
      </c>
      <c r="Z177" s="435">
        <f>IF(Table1[[#This Row],[h_hargasebelumdiskon]]="","",IF(Table1[[#This Row],[Column14]]="",0,Table1[[#This Row],[h_hargasebelumdiskon]]*Table1[[#This Row],[Column14]]))</f>
        <v>33840</v>
      </c>
      <c r="AA177" s="435">
        <f>IF(Table1[[#This Row],[h_hargasebelumdiskon]]="","",IF(Table1[[#This Row],[Column15]]="",0,(Table1[[#This Row],[h_hargasebelumdiskon]]-Table1[[#This Row],[h_disc 1]])*Table1[[#This Row],[Column15]]))</f>
        <v>0</v>
      </c>
      <c r="AB177" s="237">
        <f>IF(Table1[[#This Row],[Column12]]="","",Table1[[#This Row],[h_disc 1]]+Table1[[#This Row],[h_disc 2]])</f>
        <v>33840</v>
      </c>
      <c r="AC177" s="237">
        <f>IF(Table1[[#This Row],[Column12]]="","",Table1[[#This Row],[h_hargasebelumdiskon]]-Table1[[#This Row],[h_diskon]])</f>
        <v>304560</v>
      </c>
      <c r="AD177" s="237">
        <f ca="1">IF(Table1[[#This Row],[//]]="","",SUMIF(Table1[h_id],Table1[[#This Row],[h_id]],Table1[h_hargasetelahdiskon]))</f>
        <v>1514160</v>
      </c>
      <c r="AF177" s="237" t="str">
        <f>Table1[[#This Row],[Column12]]&amp;Table1[[#This Row],[Unit]]&amp;Table1[[#This Row],[Column13]]</f>
        <v>BALLPEN KENKO K-80LSN28200</v>
      </c>
      <c r="AG177"/>
      <c r="AH177"/>
      <c r="AI177"/>
    </row>
    <row r="178" spans="1:35">
      <c r="A178" s="234" t="str">
        <f ca="1">IF(Table1[[#This Row],[No. Invoice :]]="","",ROW())</f>
        <v/>
      </c>
      <c r="B178" s="432" t="str">
        <f ca="1">IF(Table1[[#This Row],[Column3]]="","",B$1+COUNT(INDIRECT("B$2:B"&amp;ROW()-1)))</f>
        <v/>
      </c>
      <c r="C178" s="235" t="str">
        <f>IF(Table1[[#This Row],[Column2]]="","",Table1[[#This Row],[Column2]]+C$1-1)</f>
        <v/>
      </c>
      <c r="D178" s="433"/>
      <c r="E178" s="434"/>
      <c r="F178" s="432"/>
      <c r="G178" s="234" t="str">
        <f ca="1">IF(Table1[[#This Row],[h_No. Invoice :]]="","",CONCATENATE("AM"," ",Table1[[#This Row],[h_No. Invoice :]]))</f>
        <v/>
      </c>
      <c r="H178" s="432" t="str">
        <f>IF(Table1[[#This Row],[Column5]]="","",INDEX(Table2[Column1],MATCH(Table1[[#This Row],[Column5]],Table2[a],0)))</f>
        <v/>
      </c>
      <c r="I178" s="234" t="str">
        <f>IF(Table1[[#This Row],[Column3]]=0,"",CONCATENATE(UPPER(Table1[[#This Row],[Column3]])," ",Table1[[#This Row],[Column4]]))</f>
        <v xml:space="preserve"> </v>
      </c>
      <c r="J178" s="234" t="str">
        <f>IF(Table1[[#This Row],[Column5]]="","",INDEX(Table2[e],IF(Table1[[#This Row],[Column5]]="","",MATCH(Table1[[#This Row],[Column5]],Table2[a],0)),))</f>
        <v/>
      </c>
      <c r="K178" s="234">
        <v>36</v>
      </c>
      <c r="L178" s="234" t="s">
        <v>197</v>
      </c>
      <c r="N178" s="234" t="s">
        <v>427</v>
      </c>
      <c r="O178" s="432" t="e">
        <f>IF(Table1[[#This Row],[h_Item Description]]="","",INDEX([1]!db[NB PAJAK],MATCH(Table1[[#This Row],[h_Item Description]],[1]!db[kode],0)))</f>
        <v>#N/A</v>
      </c>
      <c r="P178" s="234" t="s">
        <v>433</v>
      </c>
      <c r="Q178" s="237">
        <v>15000</v>
      </c>
      <c r="R178" s="238">
        <v>0.1</v>
      </c>
      <c r="S178" s="238"/>
      <c r="T178" s="435">
        <f>Table1[[#This Row],[h_hargasetelahdiskon]]</f>
        <v>486000</v>
      </c>
      <c r="V178" s="234"/>
      <c r="W178" s="234">
        <f ca="1">IF(Table1[[#This Row],[Column12]]="","",IF(Table1[[#This Row],[//]]="",INDIRECT(ADDRESS(ROW()-1,COLUMN())),Table1[[#This Row],[//]]))</f>
        <v>177</v>
      </c>
      <c r="X178" s="234">
        <f ca="1">IF(Table1[[#This Row],[h_id]]="","",COUNTIF(Table1[h_id],Table1[[#This Row],[h_id]]))</f>
        <v>5</v>
      </c>
      <c r="Y178" s="237">
        <f>IF(Table1[[#This Row],[Column12]]="","",Table1[[#This Row],[Qty]]*Table1[[#This Row],[Column13]])</f>
        <v>540000</v>
      </c>
      <c r="Z178" s="435">
        <f>IF(Table1[[#This Row],[h_hargasebelumdiskon]]="","",IF(Table1[[#This Row],[Column14]]="",0,Table1[[#This Row],[h_hargasebelumdiskon]]*Table1[[#This Row],[Column14]]))</f>
        <v>54000</v>
      </c>
      <c r="AA178" s="435">
        <f>IF(Table1[[#This Row],[h_hargasebelumdiskon]]="","",IF(Table1[[#This Row],[Column15]]="",0,(Table1[[#This Row],[h_hargasebelumdiskon]]-Table1[[#This Row],[h_disc 1]])*Table1[[#This Row],[Column15]]))</f>
        <v>0</v>
      </c>
      <c r="AB178" s="237">
        <f>IF(Table1[[#This Row],[Column12]]="","",Table1[[#This Row],[h_disc 1]]+Table1[[#This Row],[h_disc 2]])</f>
        <v>54000</v>
      </c>
      <c r="AC178" s="237">
        <f>IF(Table1[[#This Row],[Column12]]="","",Table1[[#This Row],[h_hargasebelumdiskon]]-Table1[[#This Row],[h_diskon]])</f>
        <v>486000</v>
      </c>
      <c r="AD178" s="237" t="str">
        <f ca="1">IF(Table1[[#This Row],[//]]="","",SUMIF(Table1[h_id],Table1[[#This Row],[h_id]],Table1[h_hargasetelahdiskon]))</f>
        <v/>
      </c>
      <c r="AF178" s="237" t="str">
        <f>Table1[[#This Row],[Column12]]&amp;Table1[[#This Row],[Unit]]&amp;Table1[[#This Row],[Column13]]</f>
        <v>PENSIL WARNA KENKO BI-COLOR NMCP-12FBC PCS15000</v>
      </c>
      <c r="AG178"/>
      <c r="AH178"/>
      <c r="AI178"/>
    </row>
    <row r="179" spans="1:35">
      <c r="A179" s="234" t="str">
        <f ca="1">IF(Table1[[#This Row],[No. Invoice :]]="","",ROW())</f>
        <v/>
      </c>
      <c r="B179" s="432" t="str">
        <f ca="1">IF(Table1[[#This Row],[Column3]]="","",B$1+COUNT(INDIRECT("B$2:B"&amp;ROW()-1)))</f>
        <v/>
      </c>
      <c r="C179" s="235" t="str">
        <f>IF(Table1[[#This Row],[Column2]]="","",Table1[[#This Row],[Column2]]+C$1-1)</f>
        <v/>
      </c>
      <c r="D179" s="433"/>
      <c r="E179" s="434"/>
      <c r="F179" s="432"/>
      <c r="G179" s="234" t="str">
        <f ca="1">IF(Table1[[#This Row],[h_No. Invoice :]]="","",CONCATENATE("AM"," ",Table1[[#This Row],[h_No. Invoice :]]))</f>
        <v/>
      </c>
      <c r="H179" s="432" t="str">
        <f>IF(Table1[[#This Row],[Column5]]="","",INDEX(Table2[Column1],MATCH(Table1[[#This Row],[Column5]],Table2[a],0)))</f>
        <v/>
      </c>
      <c r="I179" s="234" t="str">
        <f>IF(Table1[[#This Row],[Column3]]=0,"",CONCATENATE(UPPER(Table1[[#This Row],[Column3]])," ",Table1[[#This Row],[Column4]]))</f>
        <v xml:space="preserve"> </v>
      </c>
      <c r="J179" s="234" t="str">
        <f>IF(Table1[[#This Row],[Column5]]="","",INDEX(Table2[e],IF(Table1[[#This Row],[Column5]]="","",MATCH(Table1[[#This Row],[Column5]],Table2[a],0)),))</f>
        <v/>
      </c>
      <c r="K179" s="234">
        <v>12</v>
      </c>
      <c r="L179" s="234" t="s">
        <v>197</v>
      </c>
      <c r="N179" s="234" t="s">
        <v>428</v>
      </c>
      <c r="O179" s="432" t="e">
        <f>IF(Table1[[#This Row],[h_Item Description]]="","",INDEX([1]!db[NB PAJAK],MATCH(Table1[[#This Row],[h_Item Description]],[1]!db[kode],0)))</f>
        <v>#N/A</v>
      </c>
      <c r="P179" s="234" t="s">
        <v>434</v>
      </c>
      <c r="Q179" s="237">
        <v>24500</v>
      </c>
      <c r="R179" s="238">
        <v>0.1</v>
      </c>
      <c r="S179" s="238"/>
      <c r="T179" s="435">
        <f>Table1[[#This Row],[h_hargasetelahdiskon]]</f>
        <v>264600</v>
      </c>
      <c r="V179" s="234"/>
      <c r="W179" s="234">
        <f ca="1">IF(Table1[[#This Row],[Column12]]="","",IF(Table1[[#This Row],[//]]="",INDIRECT(ADDRESS(ROW()-1,COLUMN())),Table1[[#This Row],[//]]))</f>
        <v>177</v>
      </c>
      <c r="X179" s="234">
        <f ca="1">IF(Table1[[#This Row],[h_id]]="","",COUNTIF(Table1[h_id],Table1[[#This Row],[h_id]]))</f>
        <v>5</v>
      </c>
      <c r="Y179" s="237">
        <f>IF(Table1[[#This Row],[Column12]]="","",Table1[[#This Row],[Qty]]*Table1[[#This Row],[Column13]])</f>
        <v>294000</v>
      </c>
      <c r="Z179" s="435">
        <f>IF(Table1[[#This Row],[h_hargasebelumdiskon]]="","",IF(Table1[[#This Row],[Column14]]="",0,Table1[[#This Row],[h_hargasebelumdiskon]]*Table1[[#This Row],[Column14]]))</f>
        <v>29400</v>
      </c>
      <c r="AA179" s="435">
        <f>IF(Table1[[#This Row],[h_hargasebelumdiskon]]="","",IF(Table1[[#This Row],[Column15]]="",0,(Table1[[#This Row],[h_hargasebelumdiskon]]-Table1[[#This Row],[h_disc 1]])*Table1[[#This Row],[Column15]]))</f>
        <v>0</v>
      </c>
      <c r="AB179" s="237">
        <f>IF(Table1[[#This Row],[Column12]]="","",Table1[[#This Row],[h_disc 1]]+Table1[[#This Row],[h_disc 2]])</f>
        <v>29400</v>
      </c>
      <c r="AC179" s="237">
        <f>IF(Table1[[#This Row],[Column12]]="","",Table1[[#This Row],[h_hargasebelumdiskon]]-Table1[[#This Row],[h_diskon]])</f>
        <v>264600</v>
      </c>
      <c r="AD179" s="237" t="str">
        <f ca="1">IF(Table1[[#This Row],[//]]="","",SUMIF(Table1[h_id],Table1[[#This Row],[h_id]],Table1[h_hargasetelahdiskon]))</f>
        <v/>
      </c>
      <c r="AF179" s="237" t="str">
        <f>Table1[[#This Row],[Column12]]&amp;Table1[[#This Row],[Unit]]&amp;Table1[[#This Row],[Column13]]</f>
        <v>PENSIL WARNA KENKO BI-COLOR CP-24FBC PCS24500</v>
      </c>
      <c r="AG179"/>
      <c r="AH179"/>
      <c r="AI179"/>
    </row>
    <row r="180" spans="1:35">
      <c r="A180" s="234" t="str">
        <f ca="1">IF(Table1[[#This Row],[No. Invoice :]]="","",ROW())</f>
        <v/>
      </c>
      <c r="B180" s="432" t="str">
        <f ca="1">IF(Table1[[#This Row],[Column3]]="","",B$1+COUNT(INDIRECT("B$2:B"&amp;ROW()-1)))</f>
        <v/>
      </c>
      <c r="C180" s="235" t="str">
        <f>IF(Table1[[#This Row],[Column2]]="","",Table1[[#This Row],[Column2]]+C$1-1)</f>
        <v/>
      </c>
      <c r="D180" s="433"/>
      <c r="E180" s="434"/>
      <c r="F180" s="432"/>
      <c r="G180" s="234" t="str">
        <f ca="1">IF(Table1[[#This Row],[h_No. Invoice :]]="","",CONCATENATE("AM"," ",Table1[[#This Row],[h_No. Invoice :]]))</f>
        <v/>
      </c>
      <c r="H180" s="432" t="str">
        <f>IF(Table1[[#This Row],[Column5]]="","",INDEX(Table2[Column1],MATCH(Table1[[#This Row],[Column5]],Table2[a],0)))</f>
        <v/>
      </c>
      <c r="I180" s="234" t="str">
        <f>IF(Table1[[#This Row],[Column3]]=0,"",CONCATENATE(UPPER(Table1[[#This Row],[Column3]])," ",Table1[[#This Row],[Column4]]))</f>
        <v xml:space="preserve"> </v>
      </c>
      <c r="J180" s="234" t="str">
        <f>IF(Table1[[#This Row],[Column5]]="","",INDEX(Table2[e],IF(Table1[[#This Row],[Column5]]="","",MATCH(Table1[[#This Row],[Column5]],Table2[a],0)),))</f>
        <v/>
      </c>
      <c r="K180" s="234">
        <v>24</v>
      </c>
      <c r="L180" s="234" t="s">
        <v>197</v>
      </c>
      <c r="N180" s="234" t="s">
        <v>429</v>
      </c>
      <c r="O180" s="432" t="e">
        <f>IF(Table1[[#This Row],[h_Item Description]]="","",INDEX([1]!db[NB PAJAK],MATCH(Table1[[#This Row],[h_Item Description]],[1]!db[kode],0)))</f>
        <v>#N/A</v>
      </c>
      <c r="P180" s="234" t="s">
        <v>435</v>
      </c>
      <c r="Q180" s="237">
        <v>13000</v>
      </c>
      <c r="R180" s="238">
        <v>0.1</v>
      </c>
      <c r="S180" s="238"/>
      <c r="T180" s="435">
        <f>Table1[[#This Row],[h_hargasetelahdiskon]]</f>
        <v>280800</v>
      </c>
      <c r="V180" s="234"/>
      <c r="W180" s="234">
        <f ca="1">IF(Table1[[#This Row],[Column12]]="","",IF(Table1[[#This Row],[//]]="",INDIRECT(ADDRESS(ROW()-1,COLUMN())),Table1[[#This Row],[//]]))</f>
        <v>177</v>
      </c>
      <c r="X180" s="234">
        <f ca="1">IF(Table1[[#This Row],[h_id]]="","",COUNTIF(Table1[h_id],Table1[[#This Row],[h_id]]))</f>
        <v>5</v>
      </c>
      <c r="Y180" s="237">
        <f>IF(Table1[[#This Row],[Column12]]="","",Table1[[#This Row],[Qty]]*Table1[[#This Row],[Column13]])</f>
        <v>312000</v>
      </c>
      <c r="Z180" s="435">
        <f>IF(Table1[[#This Row],[h_hargasebelumdiskon]]="","",IF(Table1[[#This Row],[Column14]]="",0,Table1[[#This Row],[h_hargasebelumdiskon]]*Table1[[#This Row],[Column14]]))</f>
        <v>31200</v>
      </c>
      <c r="AA180" s="435">
        <f>IF(Table1[[#This Row],[h_hargasebelumdiskon]]="","",IF(Table1[[#This Row],[Column15]]="",0,(Table1[[#This Row],[h_hargasebelumdiskon]]-Table1[[#This Row],[h_disc 1]])*Table1[[#This Row],[Column15]]))</f>
        <v>0</v>
      </c>
      <c r="AB180" s="237">
        <f>IF(Table1[[#This Row],[Column12]]="","",Table1[[#This Row],[h_disc 1]]+Table1[[#This Row],[h_disc 2]])</f>
        <v>31200</v>
      </c>
      <c r="AC180" s="237">
        <f>IF(Table1[[#This Row],[Column12]]="","",Table1[[#This Row],[h_hargasebelumdiskon]]-Table1[[#This Row],[h_diskon]])</f>
        <v>280800</v>
      </c>
      <c r="AD180" s="237" t="str">
        <f ca="1">IF(Table1[[#This Row],[//]]="","",SUMIF(Table1[h_id],Table1[[#This Row],[h_id]],Table1[h_hargasetelahdiskon]))</f>
        <v/>
      </c>
      <c r="AF180" s="237" t="str">
        <f>Table1[[#This Row],[Column12]]&amp;Table1[[#This Row],[Unit]]&amp;Table1[[#This Row],[Column13]]</f>
        <v>PENSIL WARNA KENKO NCP-12CPCS13000</v>
      </c>
      <c r="AG180"/>
      <c r="AH180"/>
      <c r="AI180"/>
    </row>
    <row r="181" spans="1:35">
      <c r="A181" s="234" t="str">
        <f ca="1">IF(Table1[[#This Row],[No. Invoice :]]="","",ROW())</f>
        <v/>
      </c>
      <c r="B181" s="432" t="str">
        <f ca="1">IF(Table1[[#This Row],[Column3]]="","",B$1+COUNT(INDIRECT("B$2:B"&amp;ROW()-1)))</f>
        <v/>
      </c>
      <c r="C181" s="235" t="str">
        <f>IF(Table1[[#This Row],[Column2]]="","",Table1[[#This Row],[Column2]]+C$1-1)</f>
        <v/>
      </c>
      <c r="D181" s="433"/>
      <c r="E181" s="434"/>
      <c r="F181" s="432"/>
      <c r="G181" s="234" t="str">
        <f ca="1">IF(Table1[[#This Row],[h_No. Invoice :]]="","",CONCATENATE("AM"," ",Table1[[#This Row],[h_No. Invoice :]]))</f>
        <v/>
      </c>
      <c r="H181" s="432" t="str">
        <f>IF(Table1[[#This Row],[Column5]]="","",INDEX(Table2[Column1],MATCH(Table1[[#This Row],[Column5]],Table2[a],0)))</f>
        <v/>
      </c>
      <c r="I181" s="234" t="str">
        <f>IF(Table1[[#This Row],[Column3]]=0,"",CONCATENATE(UPPER(Table1[[#This Row],[Column3]])," ",Table1[[#This Row],[Column4]]))</f>
        <v xml:space="preserve"> </v>
      </c>
      <c r="J181" s="234" t="str">
        <f>IF(Table1[[#This Row],[Column5]]="","",INDEX(Table2[e],IF(Table1[[#This Row],[Column5]]="","",MATCH(Table1[[#This Row],[Column5]],Table2[a],0)),))</f>
        <v/>
      </c>
      <c r="K181" s="234">
        <v>10</v>
      </c>
      <c r="L181" s="234" t="s">
        <v>186</v>
      </c>
      <c r="N181" s="234" t="s">
        <v>430</v>
      </c>
      <c r="O181" s="432" t="str">
        <f>IF(Table1[[#This Row],[h_Item Description]]="","",INDEX([1]!db[NB PAJAK],MATCH(Table1[[#This Row],[h_Item Description]],[1]!db[kode],0)))</f>
        <v>LEM CAIR 35 ML KENKO LG-35</v>
      </c>
      <c r="P181" s="234" t="s">
        <v>431</v>
      </c>
      <c r="Q181" s="237">
        <v>19800</v>
      </c>
      <c r="R181" s="238">
        <v>0.1</v>
      </c>
      <c r="S181" s="238"/>
      <c r="T181" s="435">
        <f>Table1[[#This Row],[h_hargasetelahdiskon]]</f>
        <v>178200</v>
      </c>
      <c r="V181" s="234"/>
      <c r="W181" s="234">
        <f ca="1">IF(Table1[[#This Row],[Column12]]="","",IF(Table1[[#This Row],[//]]="",INDIRECT(ADDRESS(ROW()-1,COLUMN())),Table1[[#This Row],[//]]))</f>
        <v>177</v>
      </c>
      <c r="X181" s="234">
        <f ca="1">IF(Table1[[#This Row],[h_id]]="","",COUNTIF(Table1[h_id],Table1[[#This Row],[h_id]]))</f>
        <v>5</v>
      </c>
      <c r="Y181" s="237">
        <f>IF(Table1[[#This Row],[Column12]]="","",Table1[[#This Row],[Qty]]*Table1[[#This Row],[Column13]])</f>
        <v>198000</v>
      </c>
      <c r="Z181" s="435">
        <f>IF(Table1[[#This Row],[h_hargasebelumdiskon]]="","",IF(Table1[[#This Row],[Column14]]="",0,Table1[[#This Row],[h_hargasebelumdiskon]]*Table1[[#This Row],[Column14]]))</f>
        <v>19800</v>
      </c>
      <c r="AA181" s="435">
        <f>IF(Table1[[#This Row],[h_hargasebelumdiskon]]="","",IF(Table1[[#This Row],[Column15]]="",0,(Table1[[#This Row],[h_hargasebelumdiskon]]-Table1[[#This Row],[h_disc 1]])*Table1[[#This Row],[Column15]]))</f>
        <v>0</v>
      </c>
      <c r="AB181" s="237">
        <f>IF(Table1[[#This Row],[Column12]]="","",Table1[[#This Row],[h_disc 1]]+Table1[[#This Row],[h_disc 2]])</f>
        <v>19800</v>
      </c>
      <c r="AC181" s="237">
        <f>IF(Table1[[#This Row],[Column12]]="","",Table1[[#This Row],[h_hargasebelumdiskon]]-Table1[[#This Row],[h_diskon]])</f>
        <v>178200</v>
      </c>
      <c r="AD181" s="237" t="str">
        <f ca="1">IF(Table1[[#This Row],[//]]="","",SUMIF(Table1[h_id],Table1[[#This Row],[h_id]],Table1[h_hargasetelahdiskon]))</f>
        <v/>
      </c>
      <c r="AF181" s="237" t="str">
        <f>Table1[[#This Row],[Column12]]&amp;Table1[[#This Row],[Unit]]&amp;Table1[[#This Row],[Column13]]</f>
        <v>LEM CAIR 35 ML KENKO LG-35LSN19800</v>
      </c>
      <c r="AG181"/>
      <c r="AH181"/>
      <c r="AI181"/>
    </row>
    <row r="182" spans="1:35">
      <c r="A182" s="234" t="str">
        <f ca="1">IF(Table1[[#This Row],[No. Invoice :]]="","",ROW())</f>
        <v/>
      </c>
      <c r="B182" s="432" t="str">
        <f ca="1">IF(Table1[[#This Row],[Column3]]="","",B$1+COUNT(INDIRECT("B$2:B"&amp;ROW()-1)))</f>
        <v/>
      </c>
      <c r="C182" s="235" t="str">
        <f>IF(Table1[[#This Row],[Column2]]="","",Table1[[#This Row],[Column2]]+C$1-1)</f>
        <v/>
      </c>
      <c r="D182" s="433"/>
      <c r="E182" s="434"/>
      <c r="F182" s="432"/>
      <c r="G182" s="234" t="str">
        <f ca="1">IF(Table1[[#This Row],[h_No. Invoice :]]="","",CONCATENATE("AM"," ",Table1[[#This Row],[h_No. Invoice :]]))</f>
        <v/>
      </c>
      <c r="H182" s="432" t="str">
        <f>IF(Table1[[#This Row],[Column5]]="","",INDEX(Table2[Column1],MATCH(Table1[[#This Row],[Column5]],Table2[a],0)))</f>
        <v/>
      </c>
      <c r="I182" s="234" t="str">
        <f>IF(Table1[[#This Row],[Column3]]=0,"",CONCATENATE(UPPER(Table1[[#This Row],[Column3]])," ",Table1[[#This Row],[Column4]]))</f>
        <v xml:space="preserve"> </v>
      </c>
      <c r="J182" s="234" t="str">
        <f>IF(Table1[[#This Row],[Column5]]="","",INDEX(Table2[e],IF(Table1[[#This Row],[Column5]]="","",MATCH(Table1[[#This Row],[Column5]],Table2[a],0)),))</f>
        <v/>
      </c>
      <c r="K182" s="234"/>
      <c r="L182" s="234"/>
      <c r="N182" s="432"/>
      <c r="O182" s="432" t="str">
        <f>IF(Table1[[#This Row],[h_Item Description]]="","",INDEX([1]!db[NB PAJAK],MATCH(Table1[[#This Row],[h_Item Description]],[1]!db[kode],0)))</f>
        <v/>
      </c>
      <c r="Q182" s="237"/>
      <c r="R182" s="238"/>
      <c r="S182" s="238"/>
      <c r="T182" s="435" t="str">
        <f>Table1[[#This Row],[h_hargasetelahdiskon]]</f>
        <v/>
      </c>
      <c r="V182" s="234"/>
      <c r="W182" s="234" t="str">
        <f ca="1">IF(Table1[[#This Row],[Column12]]="","",IF(Table1[[#This Row],[//]]="",INDIRECT(ADDRESS(ROW()-1,COLUMN())),Table1[[#This Row],[//]]))</f>
        <v/>
      </c>
      <c r="X182" s="234" t="str">
        <f ca="1">IF(Table1[[#This Row],[h_id]]="","",COUNTIF(Table1[h_id],Table1[[#This Row],[h_id]]))</f>
        <v/>
      </c>
      <c r="Y182" s="237" t="str">
        <f>IF(Table1[[#This Row],[Column12]]="","",Table1[[#This Row],[Qty]]*Table1[[#This Row],[Column13]])</f>
        <v/>
      </c>
      <c r="Z182" s="435" t="str">
        <f>IF(Table1[[#This Row],[h_hargasebelumdiskon]]="","",IF(Table1[[#This Row],[Column14]]="",0,Table1[[#This Row],[h_hargasebelumdiskon]]*Table1[[#This Row],[Column14]]))</f>
        <v/>
      </c>
      <c r="AA182" s="435" t="str">
        <f>IF(Table1[[#This Row],[h_hargasebelumdiskon]]="","",IF(Table1[[#This Row],[Column15]]="",0,(Table1[[#This Row],[h_hargasebelumdiskon]]-Table1[[#This Row],[h_disc 1]])*Table1[[#This Row],[Column15]]))</f>
        <v/>
      </c>
      <c r="AB182" s="237" t="str">
        <f>IF(Table1[[#This Row],[Column12]]="","",Table1[[#This Row],[h_disc 1]]+Table1[[#This Row],[h_disc 2]])</f>
        <v/>
      </c>
      <c r="AC182" s="237" t="str">
        <f>IF(Table1[[#This Row],[Column12]]="","",Table1[[#This Row],[h_hargasebelumdiskon]]-Table1[[#This Row],[h_diskon]])</f>
        <v/>
      </c>
      <c r="AD182" s="237" t="str">
        <f ca="1">IF(Table1[[#This Row],[//]]="","",SUMIF(Table1[h_id],Table1[[#This Row],[h_id]],Table1[h_hargasetelahdiskon]))</f>
        <v/>
      </c>
      <c r="AF182" s="237" t="str">
        <f>Table1[[#This Row],[Column12]]&amp;Table1[[#This Row],[Unit]]&amp;Table1[[#This Row],[Column13]]</f>
        <v/>
      </c>
      <c r="AG182"/>
      <c r="AH182"/>
      <c r="AI182"/>
    </row>
    <row r="183" spans="1:35">
      <c r="A183" s="234" t="str">
        <f ca="1">IF(Table1[[#This Row],[No. Invoice :]]="","",ROW())</f>
        <v/>
      </c>
      <c r="B183" s="432" t="str">
        <f ca="1">IF(Table1[[#This Row],[Column3]]="","",B$1+COUNT(INDIRECT("B$2:B"&amp;ROW()-1)))</f>
        <v/>
      </c>
      <c r="C183" s="235" t="str">
        <f>IF(Table1[[#This Row],[Column2]]="","",Table1[[#This Row],[Column2]]+C$1-1)</f>
        <v/>
      </c>
      <c r="D183" s="433"/>
      <c r="E183" s="434"/>
      <c r="F183" s="432"/>
      <c r="G183" s="234" t="str">
        <f ca="1">IF(Table1[[#This Row],[h_No. Invoice :]]="","",CONCATENATE("AM"," ",Table1[[#This Row],[h_No. Invoice :]]))</f>
        <v/>
      </c>
      <c r="H183" s="432" t="str">
        <f>IF(Table1[[#This Row],[Column5]]="","",INDEX(Table2[Column1],MATCH(Table1[[#This Row],[Column5]],Table2[a],0)))</f>
        <v/>
      </c>
      <c r="I183" s="234" t="str">
        <f>IF(Table1[[#This Row],[Column3]]=0,"",CONCATENATE(UPPER(Table1[[#This Row],[Column3]])," ",Table1[[#This Row],[Column4]]))</f>
        <v xml:space="preserve"> </v>
      </c>
      <c r="J183" s="234" t="str">
        <f>IF(Table1[[#This Row],[Column5]]="","",INDEX(Table2[e],IF(Table1[[#This Row],[Column5]]="","",MATCH(Table1[[#This Row],[Column5]],Table2[a],0)),))</f>
        <v/>
      </c>
      <c r="K183" s="234"/>
      <c r="L183" s="234"/>
      <c r="N183" s="432"/>
      <c r="O183" s="432" t="str">
        <f>IF(Table1[[#This Row],[h_Item Description]]="","",INDEX([1]!db[NB PAJAK],MATCH(Table1[[#This Row],[h_Item Description]],[1]!db[kode],0)))</f>
        <v/>
      </c>
      <c r="Q183" s="237"/>
      <c r="R183" s="238"/>
      <c r="S183" s="238"/>
      <c r="T183" s="435" t="str">
        <f>Table1[[#This Row],[h_hargasetelahdiskon]]</f>
        <v/>
      </c>
      <c r="V183" s="234"/>
      <c r="W183" s="234" t="str">
        <f ca="1">IF(Table1[[#This Row],[Column12]]="","",IF(Table1[[#This Row],[//]]="",INDIRECT(ADDRESS(ROW()-1,COLUMN())),Table1[[#This Row],[//]]))</f>
        <v/>
      </c>
      <c r="X183" s="234" t="str">
        <f ca="1">IF(Table1[[#This Row],[h_id]]="","",COUNTIF(Table1[h_id],Table1[[#This Row],[h_id]]))</f>
        <v/>
      </c>
      <c r="Y183" s="237" t="str">
        <f>IF(Table1[[#This Row],[Column12]]="","",Table1[[#This Row],[Qty]]*Table1[[#This Row],[Column13]])</f>
        <v/>
      </c>
      <c r="Z183" s="435" t="str">
        <f>IF(Table1[[#This Row],[h_hargasebelumdiskon]]="","",IF(Table1[[#This Row],[Column14]]="",0,Table1[[#This Row],[h_hargasebelumdiskon]]*Table1[[#This Row],[Column14]]))</f>
        <v/>
      </c>
      <c r="AA183" s="435" t="str">
        <f>IF(Table1[[#This Row],[h_hargasebelumdiskon]]="","",IF(Table1[[#This Row],[Column15]]="",0,(Table1[[#This Row],[h_hargasebelumdiskon]]-Table1[[#This Row],[h_disc 1]])*Table1[[#This Row],[Column15]]))</f>
        <v/>
      </c>
      <c r="AB183" s="237" t="str">
        <f>IF(Table1[[#This Row],[Column12]]="","",Table1[[#This Row],[h_disc 1]]+Table1[[#This Row],[h_disc 2]])</f>
        <v/>
      </c>
      <c r="AC183" s="237" t="str">
        <f>IF(Table1[[#This Row],[Column12]]="","",Table1[[#This Row],[h_hargasebelumdiskon]]-Table1[[#This Row],[h_diskon]])</f>
        <v/>
      </c>
      <c r="AD183" s="237" t="str">
        <f ca="1">IF(Table1[[#This Row],[//]]="","",SUMIF(Table1[h_id],Table1[[#This Row],[h_id]],Table1[h_hargasetelahdiskon]))</f>
        <v/>
      </c>
      <c r="AF183" s="237" t="str">
        <f>Table1[[#This Row],[Column12]]&amp;Table1[[#This Row],[Unit]]&amp;Table1[[#This Row],[Column13]]</f>
        <v/>
      </c>
      <c r="AG183"/>
      <c r="AH183"/>
      <c r="AI183"/>
    </row>
    <row r="184" spans="1:35">
      <c r="A184" s="234" t="str">
        <f ca="1">IF(Table1[[#This Row],[No. Invoice :]]="","",ROW())</f>
        <v/>
      </c>
      <c r="B184" s="432" t="str">
        <f ca="1">IF(Table1[[#This Row],[Column3]]="","",B$1+COUNT(INDIRECT("B$2:B"&amp;ROW()-1)))</f>
        <v/>
      </c>
      <c r="C184" s="235" t="str">
        <f>IF(Table1[[#This Row],[Column2]]="","",Table1[[#This Row],[Column2]]+C$1-1)</f>
        <v/>
      </c>
      <c r="D184" s="433"/>
      <c r="E184" s="434"/>
      <c r="F184" s="432"/>
      <c r="G184" s="234" t="str">
        <f ca="1">IF(Table1[[#This Row],[h_No. Invoice :]]="","",CONCATENATE("AM"," ",Table1[[#This Row],[h_No. Invoice :]]))</f>
        <v/>
      </c>
      <c r="H184" s="432" t="str">
        <f>IF(Table1[[#This Row],[Column5]]="","",INDEX(Table2[Column1],MATCH(Table1[[#This Row],[Column5]],Table2[a],0)))</f>
        <v/>
      </c>
      <c r="I184" s="234" t="str">
        <f>IF(Table1[[#This Row],[Column3]]=0,"",CONCATENATE(UPPER(Table1[[#This Row],[Column3]])," ",Table1[[#This Row],[Column4]]))</f>
        <v xml:space="preserve"> </v>
      </c>
      <c r="J184" s="234" t="str">
        <f>IF(Table1[[#This Row],[Column5]]="","",INDEX(Table2[e],IF(Table1[[#This Row],[Column5]]="","",MATCH(Table1[[#This Row],[Column5]],Table2[a],0)),))</f>
        <v/>
      </c>
      <c r="K184" s="234"/>
      <c r="L184" s="234"/>
      <c r="N184" s="432"/>
      <c r="O184" s="432" t="str">
        <f>IF(Table1[[#This Row],[h_Item Description]]="","",INDEX([1]!db[NB PAJAK],MATCH(Table1[[#This Row],[h_Item Description]],[1]!db[kode],0)))</f>
        <v/>
      </c>
      <c r="Q184" s="237"/>
      <c r="R184" s="238"/>
      <c r="S184" s="238"/>
      <c r="T184" s="435" t="str">
        <f>Table1[[#This Row],[h_hargasetelahdiskon]]</f>
        <v/>
      </c>
      <c r="V184" s="234"/>
      <c r="W184" s="234" t="str">
        <f ca="1">IF(Table1[[#This Row],[Column12]]="","",IF(Table1[[#This Row],[//]]="",INDIRECT(ADDRESS(ROW()-1,COLUMN())),Table1[[#This Row],[//]]))</f>
        <v/>
      </c>
      <c r="X184" s="234" t="str">
        <f ca="1">IF(Table1[[#This Row],[h_id]]="","",COUNTIF(Table1[h_id],Table1[[#This Row],[h_id]]))</f>
        <v/>
      </c>
      <c r="Y184" s="237" t="str">
        <f>IF(Table1[[#This Row],[Column12]]="","",Table1[[#This Row],[Qty]]*Table1[[#This Row],[Column13]])</f>
        <v/>
      </c>
      <c r="Z184" s="435" t="str">
        <f>IF(Table1[[#This Row],[h_hargasebelumdiskon]]="","",IF(Table1[[#This Row],[Column14]]="",0,Table1[[#This Row],[h_hargasebelumdiskon]]*Table1[[#This Row],[Column14]]))</f>
        <v/>
      </c>
      <c r="AA184" s="435" t="str">
        <f>IF(Table1[[#This Row],[h_hargasebelumdiskon]]="","",IF(Table1[[#This Row],[Column15]]="",0,(Table1[[#This Row],[h_hargasebelumdiskon]]-Table1[[#This Row],[h_disc 1]])*Table1[[#This Row],[Column15]]))</f>
        <v/>
      </c>
      <c r="AB184" s="237" t="str">
        <f>IF(Table1[[#This Row],[Column12]]="","",Table1[[#This Row],[h_disc 1]]+Table1[[#This Row],[h_disc 2]])</f>
        <v/>
      </c>
      <c r="AC184" s="237" t="str">
        <f>IF(Table1[[#This Row],[Column12]]="","",Table1[[#This Row],[h_hargasebelumdiskon]]-Table1[[#This Row],[h_diskon]])</f>
        <v/>
      </c>
      <c r="AD184" s="237" t="str">
        <f ca="1">IF(Table1[[#This Row],[//]]="","",SUMIF(Table1[h_id],Table1[[#This Row],[h_id]],Table1[h_hargasetelahdiskon]))</f>
        <v/>
      </c>
      <c r="AF184" s="237" t="str">
        <f>Table1[[#This Row],[Column12]]&amp;Table1[[#This Row],[Unit]]&amp;Table1[[#This Row],[Column13]]</f>
        <v/>
      </c>
      <c r="AG184"/>
      <c r="AH184"/>
      <c r="AI184"/>
    </row>
    <row r="185" spans="1:35">
      <c r="A185" s="234" t="str">
        <f ca="1">IF(Table1[[#This Row],[No. Invoice :]]="","",ROW())</f>
        <v/>
      </c>
      <c r="B185" s="432" t="str">
        <f ca="1">IF(Table1[[#This Row],[Column3]]="","",B$1+COUNT(INDIRECT("B$2:B"&amp;ROW()-1)))</f>
        <v/>
      </c>
      <c r="C185" s="235" t="str">
        <f>IF(Table1[[#This Row],[Column2]]="","",Table1[[#This Row],[Column2]]+C$1-1)</f>
        <v/>
      </c>
      <c r="D185" s="433"/>
      <c r="E185" s="434"/>
      <c r="F185" s="432"/>
      <c r="G185" s="234" t="str">
        <f ca="1">IF(Table1[[#This Row],[h_No. Invoice :]]="","",CONCATENATE("AM"," ",Table1[[#This Row],[h_No. Invoice :]]))</f>
        <v/>
      </c>
      <c r="H185" s="432" t="str">
        <f>IF(Table1[[#This Row],[Column5]]="","",INDEX(Table2[Column1],MATCH(Table1[[#This Row],[Column5]],Table2[a],0)))</f>
        <v/>
      </c>
      <c r="I185" s="234" t="str">
        <f>IF(Table1[[#This Row],[Column3]]=0,"",CONCATENATE(UPPER(Table1[[#This Row],[Column3]])," ",Table1[[#This Row],[Column4]]))</f>
        <v xml:space="preserve"> </v>
      </c>
      <c r="J185" s="234" t="str">
        <f>IF(Table1[[#This Row],[Column5]]="","",INDEX(Table2[e],IF(Table1[[#This Row],[Column5]]="","",MATCH(Table1[[#This Row],[Column5]],Table2[a],0)),))</f>
        <v/>
      </c>
      <c r="K185" s="234"/>
      <c r="L185" s="234"/>
      <c r="N185" s="432"/>
      <c r="O185" s="432" t="str">
        <f>IF(Table1[[#This Row],[h_Item Description]]="","",INDEX([1]!db[NB PAJAK],MATCH(Table1[[#This Row],[h_Item Description]],[1]!db[kode],0)))</f>
        <v/>
      </c>
      <c r="Q185" s="237"/>
      <c r="R185" s="238"/>
      <c r="S185" s="238"/>
      <c r="T185" s="435" t="str">
        <f>Table1[[#This Row],[h_hargasetelahdiskon]]</f>
        <v/>
      </c>
      <c r="V185" s="234"/>
      <c r="W185" s="234" t="str">
        <f ca="1">IF(Table1[[#This Row],[Column12]]="","",IF(Table1[[#This Row],[//]]="",INDIRECT(ADDRESS(ROW()-1,COLUMN())),Table1[[#This Row],[//]]))</f>
        <v/>
      </c>
      <c r="X185" s="234" t="str">
        <f ca="1">IF(Table1[[#This Row],[h_id]]="","",COUNTIF(Table1[h_id],Table1[[#This Row],[h_id]]))</f>
        <v/>
      </c>
      <c r="Y185" s="237" t="str">
        <f>IF(Table1[[#This Row],[Column12]]="","",Table1[[#This Row],[Qty]]*Table1[[#This Row],[Column13]])</f>
        <v/>
      </c>
      <c r="Z185" s="435" t="str">
        <f>IF(Table1[[#This Row],[h_hargasebelumdiskon]]="","",IF(Table1[[#This Row],[Column14]]="",0,Table1[[#This Row],[h_hargasebelumdiskon]]*Table1[[#This Row],[Column14]]))</f>
        <v/>
      </c>
      <c r="AA185" s="435" t="str">
        <f>IF(Table1[[#This Row],[h_hargasebelumdiskon]]="","",IF(Table1[[#This Row],[Column15]]="",0,(Table1[[#This Row],[h_hargasebelumdiskon]]-Table1[[#This Row],[h_disc 1]])*Table1[[#This Row],[Column15]]))</f>
        <v/>
      </c>
      <c r="AB185" s="237" t="str">
        <f>IF(Table1[[#This Row],[Column12]]="","",Table1[[#This Row],[h_disc 1]]+Table1[[#This Row],[h_disc 2]])</f>
        <v/>
      </c>
      <c r="AC185" s="237" t="str">
        <f>IF(Table1[[#This Row],[Column12]]="","",Table1[[#This Row],[h_hargasebelumdiskon]]-Table1[[#This Row],[h_diskon]])</f>
        <v/>
      </c>
      <c r="AD185" s="237" t="str">
        <f ca="1">IF(Table1[[#This Row],[//]]="","",SUMIF(Table1[h_id],Table1[[#This Row],[h_id]],Table1[h_hargasetelahdiskon]))</f>
        <v/>
      </c>
      <c r="AF185" s="237" t="str">
        <f>Table1[[#This Row],[Column12]]&amp;Table1[[#This Row],[Unit]]&amp;Table1[[#This Row],[Column13]]</f>
        <v/>
      </c>
      <c r="AG185"/>
      <c r="AH185"/>
      <c r="AI185"/>
    </row>
    <row r="186" spans="1:35">
      <c r="A186" s="234" t="str">
        <f ca="1">IF(Table1[[#This Row],[No. Invoice :]]="","",ROW())</f>
        <v/>
      </c>
      <c r="B186" s="432" t="str">
        <f ca="1">IF(Table1[[#This Row],[Column3]]="","",B$1+COUNT(INDIRECT("B$2:B"&amp;ROW()-1)))</f>
        <v/>
      </c>
      <c r="C186" s="235" t="str">
        <f>IF(Table1[[#This Row],[Column2]]="","",Table1[[#This Row],[Column2]]+C$1-1)</f>
        <v/>
      </c>
      <c r="D186" s="433"/>
      <c r="E186" s="434"/>
      <c r="F186" s="432"/>
      <c r="G186" s="234" t="str">
        <f ca="1">IF(Table1[[#This Row],[h_No. Invoice :]]="","",CONCATENATE("AM"," ",Table1[[#This Row],[h_No. Invoice :]]))</f>
        <v/>
      </c>
      <c r="H186" s="432" t="str">
        <f>IF(Table1[[#This Row],[Column5]]="","",INDEX(Table2[Column1],MATCH(Table1[[#This Row],[Column5]],Table2[a],0)))</f>
        <v/>
      </c>
      <c r="I186" s="234" t="str">
        <f>IF(Table1[[#This Row],[Column3]]=0,"",CONCATENATE(UPPER(Table1[[#This Row],[Column3]])," ",Table1[[#This Row],[Column4]]))</f>
        <v xml:space="preserve"> </v>
      </c>
      <c r="J186" s="234" t="str">
        <f>IF(Table1[[#This Row],[Column5]]="","",INDEX(Table2[e],IF(Table1[[#This Row],[Column5]]="","",MATCH(Table1[[#This Row],[Column5]],Table2[a],0)),))</f>
        <v/>
      </c>
      <c r="K186" s="234"/>
      <c r="L186" s="234"/>
      <c r="N186" s="432"/>
      <c r="O186" s="432" t="str">
        <f>IF(Table1[[#This Row],[h_Item Description]]="","",INDEX([1]!db[NB PAJAK],MATCH(Table1[[#This Row],[h_Item Description]],[1]!db[kode],0)))</f>
        <v/>
      </c>
      <c r="Q186" s="237"/>
      <c r="R186" s="238"/>
      <c r="S186" s="238"/>
      <c r="T186" s="435" t="str">
        <f>Table1[[#This Row],[h_hargasetelahdiskon]]</f>
        <v/>
      </c>
      <c r="V186" s="234"/>
      <c r="W186" s="234" t="str">
        <f ca="1">IF(Table1[[#This Row],[Column12]]="","",IF(Table1[[#This Row],[//]]="",INDIRECT(ADDRESS(ROW()-1,COLUMN())),Table1[[#This Row],[//]]))</f>
        <v/>
      </c>
      <c r="X186" s="234" t="str">
        <f ca="1">IF(Table1[[#This Row],[h_id]]="","",COUNTIF(Table1[h_id],Table1[[#This Row],[h_id]]))</f>
        <v/>
      </c>
      <c r="Y186" s="237" t="str">
        <f>IF(Table1[[#This Row],[Column12]]="","",Table1[[#This Row],[Qty]]*Table1[[#This Row],[Column13]])</f>
        <v/>
      </c>
      <c r="Z186" s="435" t="str">
        <f>IF(Table1[[#This Row],[h_hargasebelumdiskon]]="","",IF(Table1[[#This Row],[Column14]]="",0,Table1[[#This Row],[h_hargasebelumdiskon]]*Table1[[#This Row],[Column14]]))</f>
        <v/>
      </c>
      <c r="AA186" s="435" t="str">
        <f>IF(Table1[[#This Row],[h_hargasebelumdiskon]]="","",IF(Table1[[#This Row],[Column15]]="",0,(Table1[[#This Row],[h_hargasebelumdiskon]]-Table1[[#This Row],[h_disc 1]])*Table1[[#This Row],[Column15]]))</f>
        <v/>
      </c>
      <c r="AB186" s="237" t="str">
        <f>IF(Table1[[#This Row],[Column12]]="","",Table1[[#This Row],[h_disc 1]]+Table1[[#This Row],[h_disc 2]])</f>
        <v/>
      </c>
      <c r="AC186" s="237" t="str">
        <f>IF(Table1[[#This Row],[Column12]]="","",Table1[[#This Row],[h_hargasebelumdiskon]]-Table1[[#This Row],[h_diskon]])</f>
        <v/>
      </c>
      <c r="AD186" s="237" t="str">
        <f ca="1">IF(Table1[[#This Row],[//]]="","",SUMIF(Table1[h_id],Table1[[#This Row],[h_id]],Table1[h_hargasetelahdiskon]))</f>
        <v/>
      </c>
      <c r="AF186" s="237" t="str">
        <f>Table1[[#This Row],[Column12]]&amp;Table1[[#This Row],[Unit]]&amp;Table1[[#This Row],[Column13]]</f>
        <v/>
      </c>
      <c r="AG186"/>
      <c r="AH186"/>
      <c r="AI186"/>
    </row>
    <row r="187" spans="1:35">
      <c r="A187" s="234" t="str">
        <f ca="1">IF(Table1[[#This Row],[No. Invoice :]]="","",ROW())</f>
        <v/>
      </c>
      <c r="B187" s="432" t="str">
        <f ca="1">IF(Table1[[#This Row],[Column3]]="","",B$1+COUNT(INDIRECT("B$2:B"&amp;ROW()-1)))</f>
        <v/>
      </c>
      <c r="C187" s="235" t="str">
        <f>IF(Table1[[#This Row],[Column2]]="","",Table1[[#This Row],[Column2]]+C$1-1)</f>
        <v/>
      </c>
      <c r="D187" s="433"/>
      <c r="E187" s="434"/>
      <c r="F187" s="432"/>
      <c r="G187" s="234" t="str">
        <f ca="1">IF(Table1[[#This Row],[h_No. Invoice :]]="","",CONCATENATE("AM"," ",Table1[[#This Row],[h_No. Invoice :]]))</f>
        <v/>
      </c>
      <c r="H187" s="432" t="str">
        <f>IF(Table1[[#This Row],[Column5]]="","",INDEX(Table2[Column1],MATCH(Table1[[#This Row],[Column5]],Table2[a],0)))</f>
        <v/>
      </c>
      <c r="I187" s="234" t="str">
        <f>IF(Table1[[#This Row],[Column3]]=0,"",CONCATENATE(UPPER(Table1[[#This Row],[Column3]])," ",Table1[[#This Row],[Column4]]))</f>
        <v xml:space="preserve"> </v>
      </c>
      <c r="J187" s="234" t="str">
        <f>IF(Table1[[#This Row],[Column5]]="","",INDEX(Table2[e],IF(Table1[[#This Row],[Column5]]="","",MATCH(Table1[[#This Row],[Column5]],Table2[a],0)),))</f>
        <v/>
      </c>
      <c r="K187" s="234"/>
      <c r="L187" s="234"/>
      <c r="N187" s="432"/>
      <c r="O187" s="432" t="str">
        <f>IF(Table1[[#This Row],[h_Item Description]]="","",INDEX([1]!db[NB PAJAK],MATCH(Table1[[#This Row],[h_Item Description]],[1]!db[kode],0)))</f>
        <v/>
      </c>
      <c r="Q187" s="237"/>
      <c r="R187" s="238"/>
      <c r="S187" s="238"/>
      <c r="T187" s="435" t="str">
        <f>Table1[[#This Row],[h_hargasetelahdiskon]]</f>
        <v/>
      </c>
      <c r="V187" s="234"/>
      <c r="W187" s="234" t="str">
        <f ca="1">IF(Table1[[#This Row],[Column12]]="","",IF(Table1[[#This Row],[//]]="",INDIRECT(ADDRESS(ROW()-1,COLUMN())),Table1[[#This Row],[//]]))</f>
        <v/>
      </c>
      <c r="X187" s="234" t="str">
        <f ca="1">IF(Table1[[#This Row],[h_id]]="","",COUNTIF(Table1[h_id],Table1[[#This Row],[h_id]]))</f>
        <v/>
      </c>
      <c r="Y187" s="237" t="str">
        <f>IF(Table1[[#This Row],[Column12]]="","",Table1[[#This Row],[Qty]]*Table1[[#This Row],[Column13]])</f>
        <v/>
      </c>
      <c r="Z187" s="435" t="str">
        <f>IF(Table1[[#This Row],[h_hargasebelumdiskon]]="","",IF(Table1[[#This Row],[Column14]]="",0,Table1[[#This Row],[h_hargasebelumdiskon]]*Table1[[#This Row],[Column14]]))</f>
        <v/>
      </c>
      <c r="AA187" s="435" t="str">
        <f>IF(Table1[[#This Row],[h_hargasebelumdiskon]]="","",IF(Table1[[#This Row],[Column15]]="",0,(Table1[[#This Row],[h_hargasebelumdiskon]]-Table1[[#This Row],[h_disc 1]])*Table1[[#This Row],[Column15]]))</f>
        <v/>
      </c>
      <c r="AB187" s="237" t="str">
        <f>IF(Table1[[#This Row],[Column12]]="","",Table1[[#This Row],[h_disc 1]]+Table1[[#This Row],[h_disc 2]])</f>
        <v/>
      </c>
      <c r="AC187" s="237" t="str">
        <f>IF(Table1[[#This Row],[Column12]]="","",Table1[[#This Row],[h_hargasebelumdiskon]]-Table1[[#This Row],[h_diskon]])</f>
        <v/>
      </c>
      <c r="AD187" s="237" t="str">
        <f ca="1">IF(Table1[[#This Row],[//]]="","",SUMIF(Table1[h_id],Table1[[#This Row],[h_id]],Table1[h_hargasetelahdiskon]))</f>
        <v/>
      </c>
      <c r="AF187" s="237" t="str">
        <f>Table1[[#This Row],[Column12]]&amp;Table1[[#This Row],[Unit]]&amp;Table1[[#This Row],[Column13]]</f>
        <v/>
      </c>
      <c r="AG187"/>
      <c r="AH187"/>
      <c r="AI187"/>
    </row>
    <row r="188" spans="1:35">
      <c r="A188" s="234" t="str">
        <f ca="1">IF(Table1[[#This Row],[No. Invoice :]]="","",ROW())</f>
        <v/>
      </c>
      <c r="B188" s="432" t="str">
        <f ca="1">IF(Table1[[#This Row],[Column3]]="","",B$1+COUNT(INDIRECT("B$2:B"&amp;ROW()-1)))</f>
        <v/>
      </c>
      <c r="C188" s="235" t="str">
        <f>IF(Table1[[#This Row],[Column2]]="","",Table1[[#This Row],[Column2]]+C$1-1)</f>
        <v/>
      </c>
      <c r="D188" s="433"/>
      <c r="E188" s="434"/>
      <c r="F188" s="432"/>
      <c r="G188" s="234" t="str">
        <f ca="1">IF(Table1[[#This Row],[h_No. Invoice :]]="","",CONCATENATE("AM"," ",Table1[[#This Row],[h_No. Invoice :]]))</f>
        <v/>
      </c>
      <c r="H188" s="432" t="str">
        <f>IF(Table1[[#This Row],[Column5]]="","",INDEX(Table2[Column1],MATCH(Table1[[#This Row],[Column5]],Table2[a],0)))</f>
        <v/>
      </c>
      <c r="I188" s="234" t="str">
        <f>IF(Table1[[#This Row],[Column3]]=0,"",CONCATENATE(UPPER(Table1[[#This Row],[Column3]])," ",Table1[[#This Row],[Column4]]))</f>
        <v xml:space="preserve"> </v>
      </c>
      <c r="J188" s="234" t="str">
        <f>IF(Table1[[#This Row],[Column5]]="","",INDEX(Table2[e],IF(Table1[[#This Row],[Column5]]="","",MATCH(Table1[[#This Row],[Column5]],Table2[a],0)),))</f>
        <v/>
      </c>
      <c r="K188" s="234"/>
      <c r="L188" s="234"/>
      <c r="N188" s="432"/>
      <c r="O188" s="432" t="str">
        <f>IF(Table1[[#This Row],[h_Item Description]]="","",INDEX([1]!db[NB PAJAK],MATCH(Table1[[#This Row],[h_Item Description]],[1]!db[kode],0)))</f>
        <v/>
      </c>
      <c r="Q188" s="237"/>
      <c r="R188" s="238"/>
      <c r="S188" s="238"/>
      <c r="T188" s="435" t="str">
        <f>Table1[[#This Row],[h_hargasetelahdiskon]]</f>
        <v/>
      </c>
      <c r="V188" s="234"/>
      <c r="W188" s="234" t="str">
        <f ca="1">IF(Table1[[#This Row],[Column12]]="","",IF(Table1[[#This Row],[//]]="",INDIRECT(ADDRESS(ROW()-1,COLUMN())),Table1[[#This Row],[//]]))</f>
        <v/>
      </c>
      <c r="X188" s="234" t="str">
        <f ca="1">IF(Table1[[#This Row],[h_id]]="","",COUNTIF(Table1[h_id],Table1[[#This Row],[h_id]]))</f>
        <v/>
      </c>
      <c r="Y188" s="237" t="str">
        <f>IF(Table1[[#This Row],[Column12]]="","",Table1[[#This Row],[Qty]]*Table1[[#This Row],[Column13]])</f>
        <v/>
      </c>
      <c r="Z188" s="435" t="str">
        <f>IF(Table1[[#This Row],[h_hargasebelumdiskon]]="","",IF(Table1[[#This Row],[Column14]]="",0,Table1[[#This Row],[h_hargasebelumdiskon]]*Table1[[#This Row],[Column14]]))</f>
        <v/>
      </c>
      <c r="AA188" s="435" t="str">
        <f>IF(Table1[[#This Row],[h_hargasebelumdiskon]]="","",IF(Table1[[#This Row],[Column15]]="",0,(Table1[[#This Row],[h_hargasebelumdiskon]]-Table1[[#This Row],[h_disc 1]])*Table1[[#This Row],[Column15]]))</f>
        <v/>
      </c>
      <c r="AB188" s="237" t="str">
        <f>IF(Table1[[#This Row],[Column12]]="","",Table1[[#This Row],[h_disc 1]]+Table1[[#This Row],[h_disc 2]])</f>
        <v/>
      </c>
      <c r="AC188" s="237" t="str">
        <f>IF(Table1[[#This Row],[Column12]]="","",Table1[[#This Row],[h_hargasebelumdiskon]]-Table1[[#This Row],[h_diskon]])</f>
        <v/>
      </c>
      <c r="AD188" s="237" t="str">
        <f ca="1">IF(Table1[[#This Row],[//]]="","",SUMIF(Table1[h_id],Table1[[#This Row],[h_id]],Table1[h_hargasetelahdiskon]))</f>
        <v/>
      </c>
      <c r="AF188" s="237" t="str">
        <f>Table1[[#This Row],[Column12]]&amp;Table1[[#This Row],[Unit]]&amp;Table1[[#This Row],[Column13]]</f>
        <v/>
      </c>
      <c r="AG188"/>
      <c r="AH188"/>
      <c r="AI188"/>
    </row>
    <row r="189" spans="1:35">
      <c r="A189" s="234" t="str">
        <f ca="1">IF(Table1[[#This Row],[No. Invoice :]]="","",ROW())</f>
        <v/>
      </c>
      <c r="B189" s="428" t="str">
        <f ca="1">IF(Table1[[#This Row],[Column3]]="","",B$1+COUNT(INDIRECT("B$2:B"&amp;ROW()-1)))</f>
        <v/>
      </c>
      <c r="C189" s="235" t="str">
        <f>IF(Table1[[#This Row],[Column2]]="","",Table1[[#This Row],[Column2]]+C$1-1)</f>
        <v/>
      </c>
      <c r="D189" s="429"/>
      <c r="E189" s="430"/>
      <c r="F189" s="428"/>
      <c r="G189" s="234" t="str">
        <f ca="1">IF(Table1[[#This Row],[h_No. Invoice :]]="","",CONCATENATE("AM"," ",Table1[[#This Row],[h_No. Invoice :]]))</f>
        <v/>
      </c>
      <c r="H189" s="428" t="str">
        <f>IF(Table1[[#This Row],[Column5]]="","",INDEX(Table2[Column1],MATCH(Table1[[#This Row],[Column5]],Table2[a],0)))</f>
        <v/>
      </c>
      <c r="I189" s="234" t="str">
        <f>IF(Table1[[#This Row],[Column3]]=0,"",CONCATENATE(UPPER(Table1[[#This Row],[Column3]])," ",Table1[[#This Row],[Column4]]))</f>
        <v xml:space="preserve"> </v>
      </c>
      <c r="J189" s="234" t="str">
        <f>IF(Table1[[#This Row],[Column5]]="","",INDEX(Table2[e],IF(Table1[[#This Row],[Column5]]="","",MATCH(Table1[[#This Row],[Column5]],Table2[a],0)),))</f>
        <v/>
      </c>
      <c r="K189" s="234"/>
      <c r="L189" s="234"/>
      <c r="N189" s="428"/>
      <c r="O189" s="428" t="str">
        <f>IF(Table1[[#This Row],[h_Item Description]]="","",INDEX([1]!db[NB PAJAK],MATCH(Table1[[#This Row],[h_Item Description]],[1]!db[kode],0)))</f>
        <v/>
      </c>
      <c r="Q189" s="237"/>
      <c r="R189" s="238"/>
      <c r="S189" s="238"/>
      <c r="T189" s="431" t="str">
        <f>Table1[[#This Row],[h_hargasetelahdiskon]]</f>
        <v/>
      </c>
      <c r="V189" s="234"/>
      <c r="W189" s="234" t="str">
        <f ca="1">IF(Table1[[#This Row],[Column12]]="","",IF(Table1[[#This Row],[//]]="",INDIRECT(ADDRESS(ROW()-1,COLUMN())),Table1[[#This Row],[//]]))</f>
        <v/>
      </c>
      <c r="X189" s="234" t="str">
        <f ca="1">IF(Table1[[#This Row],[h_id]]="","",COUNTIF(Table1[h_id],Table1[[#This Row],[h_id]]))</f>
        <v/>
      </c>
      <c r="Y189" s="237" t="str">
        <f>IF(Table1[[#This Row],[Column12]]="","",Table1[[#This Row],[Qty]]*Table1[[#This Row],[Column13]])</f>
        <v/>
      </c>
      <c r="Z189" s="431" t="str">
        <f>IF(Table1[[#This Row],[h_hargasebelumdiskon]]="","",IF(Table1[[#This Row],[Column14]]="",0,Table1[[#This Row],[h_hargasebelumdiskon]]*Table1[[#This Row],[Column14]]))</f>
        <v/>
      </c>
      <c r="AA189" s="431" t="str">
        <f>IF(Table1[[#This Row],[h_hargasebelumdiskon]]="","",IF(Table1[[#This Row],[Column15]]="",0,(Table1[[#This Row],[h_hargasebelumdiskon]]-Table1[[#This Row],[h_disc 1]])*Table1[[#This Row],[Column15]]))</f>
        <v/>
      </c>
      <c r="AB189" s="237" t="str">
        <f>IF(Table1[[#This Row],[Column12]]="","",Table1[[#This Row],[h_disc 1]]+Table1[[#This Row],[h_disc 2]])</f>
        <v/>
      </c>
      <c r="AC189" s="237" t="str">
        <f>IF(Table1[[#This Row],[Column12]]="","",Table1[[#This Row],[h_hargasebelumdiskon]]-Table1[[#This Row],[h_diskon]])</f>
        <v/>
      </c>
      <c r="AD189" s="237" t="str">
        <f ca="1">IF(Table1[[#This Row],[//]]="","",SUMIF(Table1[h_id],Table1[[#This Row],[h_id]],Table1[h_hargasetelahdiskon]))</f>
        <v/>
      </c>
      <c r="AF189" s="237" t="str">
        <f>Table1[[#This Row],[Column12]]&amp;Table1[[#This Row],[Unit]]&amp;Table1[[#This Row],[Column13]]</f>
        <v/>
      </c>
      <c r="AG189"/>
      <c r="AH189"/>
      <c r="AI189"/>
    </row>
    <row r="190" spans="1:35">
      <c r="A190" s="234" t="str">
        <f ca="1">IF(Table1[[#This Row],[No. Invoice :]]="","",ROW())</f>
        <v/>
      </c>
      <c r="B190" s="428" t="str">
        <f ca="1">IF(Table1[[#This Row],[Column3]]="","",B$1+COUNT(INDIRECT("B$2:B"&amp;ROW()-1)))</f>
        <v/>
      </c>
      <c r="C190" s="235" t="str">
        <f>IF(Table1[[#This Row],[Column2]]="","",Table1[[#This Row],[Column2]]+C$1-1)</f>
        <v/>
      </c>
      <c r="D190" s="429"/>
      <c r="E190" s="236"/>
      <c r="F190" s="234"/>
      <c r="G190" s="234" t="str">
        <f ca="1">IF(Table1[[#This Row],[h_No. Invoice :]]="","",CONCATENATE("AM"," ",Table1[[#This Row],[h_No. Invoice :]]))</f>
        <v/>
      </c>
      <c r="H190" s="428" t="str">
        <f>IF(Table1[[#This Row],[Column5]]="","",INDEX(Table2[Column1],MATCH(Table1[[#This Row],[Column5]],Table2[a],0)))</f>
        <v/>
      </c>
      <c r="I190" s="234" t="str">
        <f>IF(Table1[[#This Row],[Column3]]=0,"",CONCATENATE(UPPER(Table1[[#This Row],[Column3]])," ",Table1[[#This Row],[Column4]]))</f>
        <v xml:space="preserve"> </v>
      </c>
      <c r="J190" s="234" t="str">
        <f>IF(Table1[[#This Row],[Column5]]="","",INDEX(Table2[e],IF(Table1[[#This Row],[Column5]]="","",MATCH(Table1[[#This Row],[Column5]],Table2[a],0)),))</f>
        <v/>
      </c>
      <c r="K190" s="234"/>
      <c r="L190" s="234"/>
      <c r="N190" s="428"/>
      <c r="O190" s="428" t="str">
        <f>IF(Table1[[#This Row],[h_Item Description]]="","",INDEX([1]!db[NB PAJAK],MATCH(Table1[[#This Row],[h_Item Description]],[1]!db[kode],0)))</f>
        <v/>
      </c>
      <c r="Q190" s="237"/>
      <c r="R190" s="238"/>
      <c r="S190" s="238"/>
      <c r="T190" s="431" t="str">
        <f>Table1[[#This Row],[h_hargasetelahdiskon]]</f>
        <v/>
      </c>
      <c r="V190" s="234"/>
      <c r="W190" s="234" t="str">
        <f ca="1">IF(Table1[[#This Row],[Column12]]="","",IF(Table1[[#This Row],[//]]="",INDIRECT(ADDRESS(ROW()-1,COLUMN())),Table1[[#This Row],[//]]))</f>
        <v/>
      </c>
      <c r="X190" s="234" t="str">
        <f ca="1">IF(Table1[[#This Row],[h_id]]="","",COUNTIF(Table1[h_id],Table1[[#This Row],[h_id]]))</f>
        <v/>
      </c>
      <c r="Y190" s="237" t="str">
        <f>IF(Table1[[#This Row],[Column12]]="","",Table1[[#This Row],[Qty]]*Table1[[#This Row],[Column13]])</f>
        <v/>
      </c>
      <c r="Z190" s="431" t="str">
        <f>IF(Table1[[#This Row],[h_hargasebelumdiskon]]="","",IF(Table1[[#This Row],[Column14]]="",0,Table1[[#This Row],[h_hargasebelumdiskon]]*Table1[[#This Row],[Column14]]))</f>
        <v/>
      </c>
      <c r="AA190" s="431" t="str">
        <f>IF(Table1[[#This Row],[h_hargasebelumdiskon]]="","",IF(Table1[[#This Row],[Column15]]="",0,(Table1[[#This Row],[h_hargasebelumdiskon]]-Table1[[#This Row],[h_disc 1]])*Table1[[#This Row],[Column15]]))</f>
        <v/>
      </c>
      <c r="AB190" s="237" t="str">
        <f>IF(Table1[[#This Row],[Column12]]="","",Table1[[#This Row],[h_disc 1]]+Table1[[#This Row],[h_disc 2]])</f>
        <v/>
      </c>
      <c r="AC190" s="237" t="str">
        <f>IF(Table1[[#This Row],[Column12]]="","",Table1[[#This Row],[h_hargasebelumdiskon]]-Table1[[#This Row],[h_diskon]])</f>
        <v/>
      </c>
      <c r="AD190" s="237" t="str">
        <f ca="1">IF(Table1[[#This Row],[//]]="","",SUMIF(Table1[h_id],Table1[[#This Row],[h_id]],Table1[h_hargasetelahdiskon]))</f>
        <v/>
      </c>
      <c r="AF190" s="237" t="str">
        <f>Table1[[#This Row],[Column12]]&amp;Table1[[#This Row],[Unit]]&amp;Table1[[#This Row],[Column13]]</f>
        <v/>
      </c>
      <c r="AG190"/>
      <c r="AH190"/>
      <c r="AI190"/>
    </row>
    <row r="191" spans="1:35">
      <c r="A191" s="234" t="str">
        <f ca="1">IF(Table1[[#This Row],[No. Invoice :]]="","",ROW())</f>
        <v/>
      </c>
      <c r="B191" s="432" t="str">
        <f ca="1">IF(Table1[[#This Row],[Column3]]="","",B$1+COUNT(INDIRECT("B$2:B"&amp;ROW()-1)))</f>
        <v/>
      </c>
      <c r="C191" s="235" t="str">
        <f>IF(Table1[[#This Row],[Column2]]="","",Table1[[#This Row],[Column2]]+C$1-1)</f>
        <v/>
      </c>
      <c r="D191" s="433"/>
      <c r="E191" s="434"/>
      <c r="F191" s="432"/>
      <c r="G191" s="234" t="str">
        <f ca="1">IF(Table1[[#This Row],[h_No. Invoice :]]="","",CONCATENATE("AM"," ",Table1[[#This Row],[h_No. Invoice :]]))</f>
        <v/>
      </c>
      <c r="H191" s="432" t="str">
        <f>IF(Table1[[#This Row],[Column5]]="","",INDEX(Table2[Column1],MATCH(Table1[[#This Row],[Column5]],Table2[a],0)))</f>
        <v/>
      </c>
      <c r="I191" s="234" t="str">
        <f>IF(Table1[[#This Row],[Column3]]=0,"",CONCATENATE(UPPER(Table1[[#This Row],[Column3]])," ",Table1[[#This Row],[Column4]]))</f>
        <v xml:space="preserve"> </v>
      </c>
      <c r="J191" s="234" t="str">
        <f>IF(Table1[[#This Row],[Column5]]="","",INDEX(Table2[e],IF(Table1[[#This Row],[Column5]]="","",MATCH(Table1[[#This Row],[Column5]],Table2[a],0)),))</f>
        <v/>
      </c>
      <c r="K191" s="234"/>
      <c r="L191" s="234"/>
      <c r="N191" s="432"/>
      <c r="O191" s="432" t="str">
        <f>IF(Table1[[#This Row],[h_Item Description]]="","",INDEX([1]!db[NB PAJAK],MATCH(Table1[[#This Row],[h_Item Description]],[1]!db[kode],0)))</f>
        <v/>
      </c>
      <c r="Q191" s="237"/>
      <c r="R191" s="238"/>
      <c r="S191" s="238"/>
      <c r="T191" s="435" t="str">
        <f>Table1[[#This Row],[h_hargasetelahdiskon]]</f>
        <v/>
      </c>
      <c r="V191" s="234"/>
      <c r="W191" s="234" t="str">
        <f ca="1">IF(Table1[[#This Row],[Column12]]="","",IF(Table1[[#This Row],[//]]="",INDIRECT(ADDRESS(ROW()-1,COLUMN())),Table1[[#This Row],[//]]))</f>
        <v/>
      </c>
      <c r="X191" s="234" t="str">
        <f ca="1">IF(Table1[[#This Row],[h_id]]="","",COUNTIF(Table1[h_id],Table1[[#This Row],[h_id]]))</f>
        <v/>
      </c>
      <c r="Y191" s="237" t="str">
        <f>IF(Table1[[#This Row],[Column12]]="","",Table1[[#This Row],[Qty]]*Table1[[#This Row],[Column13]])</f>
        <v/>
      </c>
      <c r="Z191" s="435" t="str">
        <f>IF(Table1[[#This Row],[h_hargasebelumdiskon]]="","",IF(Table1[[#This Row],[Column14]]="",0,Table1[[#This Row],[h_hargasebelumdiskon]]*Table1[[#This Row],[Column14]]))</f>
        <v/>
      </c>
      <c r="AA191" s="435" t="str">
        <f>IF(Table1[[#This Row],[h_hargasebelumdiskon]]="","",IF(Table1[[#This Row],[Column15]]="",0,(Table1[[#This Row],[h_hargasebelumdiskon]]-Table1[[#This Row],[h_disc 1]])*Table1[[#This Row],[Column15]]))</f>
        <v/>
      </c>
      <c r="AB191" s="237" t="str">
        <f>IF(Table1[[#This Row],[Column12]]="","",Table1[[#This Row],[h_disc 1]]+Table1[[#This Row],[h_disc 2]])</f>
        <v/>
      </c>
      <c r="AC191" s="237" t="str">
        <f>IF(Table1[[#This Row],[Column12]]="","",Table1[[#This Row],[h_hargasebelumdiskon]]-Table1[[#This Row],[h_diskon]])</f>
        <v/>
      </c>
      <c r="AD191" s="237" t="str">
        <f ca="1">IF(Table1[[#This Row],[//]]="","",SUMIF(Table1[h_id],Table1[[#This Row],[h_id]],Table1[h_hargasetelahdiskon]))</f>
        <v/>
      </c>
      <c r="AF191" s="237" t="str">
        <f>Table1[[#This Row],[Column12]]&amp;Table1[[#This Row],[Unit]]&amp;Table1[[#This Row],[Column13]]</f>
        <v/>
      </c>
      <c r="AG191"/>
      <c r="AH191"/>
      <c r="AI191"/>
    </row>
    <row r="192" spans="1:35">
      <c r="A192" s="234" t="str">
        <f ca="1">IF(Table1[[#This Row],[No. Invoice :]]="","",ROW())</f>
        <v/>
      </c>
      <c r="B192" s="432" t="str">
        <f ca="1">IF(Table1[[#This Row],[Column3]]="","",B$1+COUNT(INDIRECT("B$2:B"&amp;ROW()-1)))</f>
        <v/>
      </c>
      <c r="C192" s="235" t="str">
        <f>IF(Table1[[#This Row],[Column2]]="","",Table1[[#This Row],[Column2]]+C$1-1)</f>
        <v/>
      </c>
      <c r="D192" s="433"/>
      <c r="E192" s="434"/>
      <c r="F192" s="432"/>
      <c r="G192" s="234" t="str">
        <f ca="1">IF(Table1[[#This Row],[h_No. Invoice :]]="","",CONCATENATE("AM"," ",Table1[[#This Row],[h_No. Invoice :]]))</f>
        <v/>
      </c>
      <c r="H192" s="432" t="str">
        <f>IF(Table1[[#This Row],[Column5]]="","",INDEX(Table2[Column1],MATCH(Table1[[#This Row],[Column5]],Table2[a],0)))</f>
        <v/>
      </c>
      <c r="I192" s="234" t="str">
        <f>IF(Table1[[#This Row],[Column3]]=0,"",CONCATENATE(UPPER(Table1[[#This Row],[Column3]])," ",Table1[[#This Row],[Column4]]))</f>
        <v xml:space="preserve"> </v>
      </c>
      <c r="J192" s="234" t="str">
        <f>IF(Table1[[#This Row],[Column5]]="","",INDEX(Table2[e],IF(Table1[[#This Row],[Column5]]="","",MATCH(Table1[[#This Row],[Column5]],Table2[a],0)),))</f>
        <v/>
      </c>
      <c r="K192" s="234"/>
      <c r="L192" s="234"/>
      <c r="N192" s="432"/>
      <c r="O192" s="432" t="str">
        <f>IF(Table1[[#This Row],[h_Item Description]]="","",INDEX([1]!db[NB PAJAK],MATCH(Table1[[#This Row],[h_Item Description]],[1]!db[kode],0)))</f>
        <v/>
      </c>
      <c r="Q192" s="237"/>
      <c r="R192" s="238"/>
      <c r="S192" s="238"/>
      <c r="T192" s="435" t="str">
        <f>Table1[[#This Row],[h_hargasetelahdiskon]]</f>
        <v/>
      </c>
      <c r="V192" s="234"/>
      <c r="W192" s="234" t="str">
        <f ca="1">IF(Table1[[#This Row],[Column12]]="","",IF(Table1[[#This Row],[//]]="",INDIRECT(ADDRESS(ROW()-1,COLUMN())),Table1[[#This Row],[//]]))</f>
        <v/>
      </c>
      <c r="X192" s="234" t="str">
        <f ca="1">IF(Table1[[#This Row],[h_id]]="","",COUNTIF(Table1[h_id],Table1[[#This Row],[h_id]]))</f>
        <v/>
      </c>
      <c r="Y192" s="237" t="str">
        <f>IF(Table1[[#This Row],[Column12]]="","",Table1[[#This Row],[Qty]]*Table1[[#This Row],[Column13]])</f>
        <v/>
      </c>
      <c r="Z192" s="435" t="str">
        <f>IF(Table1[[#This Row],[h_hargasebelumdiskon]]="","",IF(Table1[[#This Row],[Column14]]="",0,Table1[[#This Row],[h_hargasebelumdiskon]]*Table1[[#This Row],[Column14]]))</f>
        <v/>
      </c>
      <c r="AA192" s="435" t="str">
        <f>IF(Table1[[#This Row],[h_hargasebelumdiskon]]="","",IF(Table1[[#This Row],[Column15]]="",0,(Table1[[#This Row],[h_hargasebelumdiskon]]-Table1[[#This Row],[h_disc 1]])*Table1[[#This Row],[Column15]]))</f>
        <v/>
      </c>
      <c r="AB192" s="237" t="str">
        <f>IF(Table1[[#This Row],[Column12]]="","",Table1[[#This Row],[h_disc 1]]+Table1[[#This Row],[h_disc 2]])</f>
        <v/>
      </c>
      <c r="AC192" s="237" t="str">
        <f>IF(Table1[[#This Row],[Column12]]="","",Table1[[#This Row],[h_hargasebelumdiskon]]-Table1[[#This Row],[h_diskon]])</f>
        <v/>
      </c>
      <c r="AD192" s="237" t="str">
        <f ca="1">IF(Table1[[#This Row],[//]]="","",SUMIF(Table1[h_id],Table1[[#This Row],[h_id]],Table1[h_hargasetelahdiskon]))</f>
        <v/>
      </c>
      <c r="AF192" s="237" t="str">
        <f>Table1[[#This Row],[Column12]]&amp;Table1[[#This Row],[Unit]]&amp;Table1[[#This Row],[Column13]]</f>
        <v/>
      </c>
      <c r="AG192"/>
      <c r="AH192"/>
      <c r="AI192"/>
    </row>
    <row r="193" spans="1:35">
      <c r="A193" s="234" t="str">
        <f ca="1">IF(Table1[[#This Row],[No. Invoice :]]="","",ROW())</f>
        <v/>
      </c>
      <c r="B193" s="234" t="str">
        <f ca="1">IF(Table1[[#This Row],[Column3]]="","",B$1+COUNT(INDIRECT("B$2:B"&amp;ROW()-1)))</f>
        <v/>
      </c>
      <c r="C193" s="235" t="str">
        <f>IF(Table1[[#This Row],[Column2]]="","",Table1[[#This Row],[Column2]]+C$1-1)</f>
        <v/>
      </c>
      <c r="E193" s="236"/>
      <c r="F193" s="234"/>
      <c r="G193" s="234" t="str">
        <f ca="1">IF(Table1[[#This Row],[h_No. Invoice :]]="","",CONCATENATE("AM"," ",Table1[[#This Row],[h_No. Invoice :]]))</f>
        <v/>
      </c>
      <c r="H193" s="234" t="str">
        <f>IF(Table1[[#This Row],[Column5]]="","",INDEX(Table2[Column1],MATCH(Table1[[#This Row],[Column5]],Table2[a],0)))</f>
        <v/>
      </c>
      <c r="I193" s="234" t="str">
        <f>IF(Table1[[#This Row],[Column3]]=0,"",CONCATENATE(UPPER(Table1[[#This Row],[Column3]])," ",Table1[[#This Row],[Column4]]))</f>
        <v xml:space="preserve"> </v>
      </c>
      <c r="J193" s="234" t="str">
        <f>IF(Table1[[#This Row],[Column5]]="","",INDEX(Table2[e],IF(Table1[[#This Row],[Column5]]="","",MATCH(Table1[[#This Row],[Column5]],Table2[a],0)),))</f>
        <v/>
      </c>
      <c r="K193" s="234"/>
      <c r="L193" s="234"/>
      <c r="O193" s="234" t="str">
        <f>IF(Table1[[#This Row],[h_Item Description]]="","",INDEX([1]!db[NB PAJAK],MATCH(Table1[[#This Row],[h_Item Description]],[1]!db[kode],0)))</f>
        <v/>
      </c>
      <c r="Q193" s="237"/>
      <c r="R193" s="238"/>
      <c r="S193" s="238"/>
      <c r="T193" s="237" t="str">
        <f>Table1[[#This Row],[h_hargasetelahdiskon]]</f>
        <v/>
      </c>
      <c r="V193" s="234"/>
      <c r="W193" s="234" t="str">
        <f ca="1">IF(Table1[[#This Row],[Column12]]="","",IF(Table1[[#This Row],[//]]="",INDIRECT(ADDRESS(ROW()-1,COLUMN())),Table1[[#This Row],[//]]))</f>
        <v/>
      </c>
      <c r="X193" s="234" t="str">
        <f ca="1">IF(Table1[[#This Row],[h_id]]="","",COUNTIF(Table1[h_id],Table1[[#This Row],[h_id]]))</f>
        <v/>
      </c>
      <c r="Y193" s="237" t="str">
        <f>IF(Table1[[#This Row],[Column12]]="","",Table1[[#This Row],[Qty]]*Table1[[#This Row],[Column13]])</f>
        <v/>
      </c>
      <c r="Z193" s="237" t="str">
        <f>IF(Table1[[#This Row],[h_hargasebelumdiskon]]="","",IF(Table1[[#This Row],[Column14]]="",0,Table1[[#This Row],[h_hargasebelumdiskon]]*Table1[[#This Row],[Column14]]))</f>
        <v/>
      </c>
      <c r="AA193" s="237" t="str">
        <f>IF(Table1[[#This Row],[h_hargasebelumdiskon]]="","",IF(Table1[[#This Row],[Column15]]="",0,(Table1[[#This Row],[h_hargasebelumdiskon]]-Table1[[#This Row],[h_disc 1]])*Table1[[#This Row],[Column15]]))</f>
        <v/>
      </c>
      <c r="AB193" s="237" t="str">
        <f>IF(Table1[[#This Row],[Column12]]="","",Table1[[#This Row],[h_disc 1]]+Table1[[#This Row],[h_disc 2]])</f>
        <v/>
      </c>
      <c r="AC193" s="237" t="str">
        <f>IF(Table1[[#This Row],[Column12]]="","",Table1[[#This Row],[h_hargasebelumdiskon]]-Table1[[#This Row],[h_diskon]])</f>
        <v/>
      </c>
      <c r="AD193" s="237" t="str">
        <f ca="1">IF(Table1[[#This Row],[//]]="","",SUMIF(Table1[h_id],Table1[[#This Row],[h_id]],Table1[h_hargasetelahdiskon]))</f>
        <v/>
      </c>
      <c r="AF193" s="237" t="str">
        <f>Table1[[#This Row],[Column12]]&amp;Table1[[#This Row],[Unit]]&amp;Table1[[#This Row],[Column13]]</f>
        <v/>
      </c>
      <c r="AG193"/>
      <c r="AH193"/>
      <c r="AI193"/>
    </row>
    <row r="194" spans="1:35">
      <c r="A194" s="234" t="str">
        <f ca="1">IF(Table1[[#This Row],[No. Invoice :]]="","",ROW())</f>
        <v/>
      </c>
      <c r="B194" s="234" t="str">
        <f ca="1">IF(Table1[[#This Row],[Column3]]="","",B$1+COUNT(INDIRECT("B$2:B"&amp;ROW()-1)))</f>
        <v/>
      </c>
      <c r="C194" s="235" t="str">
        <f>IF(Table1[[#This Row],[Column2]]="","",Table1[[#This Row],[Column2]]+C$1-1)</f>
        <v/>
      </c>
      <c r="E194" s="236"/>
      <c r="F194" s="234"/>
      <c r="G194" s="234" t="str">
        <f ca="1">IF(Table1[[#This Row],[h_No. Invoice :]]="","",CONCATENATE("AM"," ",Table1[[#This Row],[h_No. Invoice :]]))</f>
        <v/>
      </c>
      <c r="H194" s="234" t="str">
        <f>IF(Table1[[#This Row],[Column5]]="","",INDEX(Table2[Column1],MATCH(Table1[[#This Row],[Column5]],Table2[a],0)))</f>
        <v/>
      </c>
      <c r="I194" s="234" t="str">
        <f>IF(Table1[[#This Row],[Column3]]=0,"",CONCATENATE(UPPER(Table1[[#This Row],[Column3]])," ",Table1[[#This Row],[Column4]]))</f>
        <v xml:space="preserve"> </v>
      </c>
      <c r="J194" s="234" t="str">
        <f>IF(Table1[[#This Row],[Column5]]="","",INDEX(Table2[e],IF(Table1[[#This Row],[Column5]]="","",MATCH(Table1[[#This Row],[Column5]],Table2[a],0)),))</f>
        <v/>
      </c>
      <c r="K194" s="234"/>
      <c r="L194" s="234"/>
      <c r="O194" s="234" t="str">
        <f>IF(Table1[[#This Row],[h_Item Description]]="","",INDEX([1]!db[NB PAJAK],MATCH(Table1[[#This Row],[h_Item Description]],[1]!db[kode],0)))</f>
        <v/>
      </c>
      <c r="Q194" s="237"/>
      <c r="R194" s="238"/>
      <c r="S194" s="238"/>
      <c r="T194" s="237" t="str">
        <f>Table1[[#This Row],[h_hargasetelahdiskon]]</f>
        <v/>
      </c>
      <c r="V194" s="234"/>
      <c r="W194" s="234" t="str">
        <f ca="1">IF(Table1[[#This Row],[Column12]]="","",IF(Table1[[#This Row],[//]]="",INDIRECT(ADDRESS(ROW()-1,COLUMN())),Table1[[#This Row],[//]]))</f>
        <v/>
      </c>
      <c r="X194" s="234" t="str">
        <f ca="1">IF(Table1[[#This Row],[h_id]]="","",COUNTIF(Table1[h_id],Table1[[#This Row],[h_id]]))</f>
        <v/>
      </c>
      <c r="Y194" s="237" t="str">
        <f>IF(Table1[[#This Row],[Column12]]="","",Table1[[#This Row],[Qty]]*Table1[[#This Row],[Column13]])</f>
        <v/>
      </c>
      <c r="Z194" s="237" t="str">
        <f>IF(Table1[[#This Row],[h_hargasebelumdiskon]]="","",IF(Table1[[#This Row],[Column14]]="",0,Table1[[#This Row],[h_hargasebelumdiskon]]*Table1[[#This Row],[Column14]]))</f>
        <v/>
      </c>
      <c r="AA194" s="237" t="str">
        <f>IF(Table1[[#This Row],[h_hargasebelumdiskon]]="","",IF(Table1[[#This Row],[Column15]]="",0,(Table1[[#This Row],[h_hargasebelumdiskon]]-Table1[[#This Row],[h_disc 1]])*Table1[[#This Row],[Column15]]))</f>
        <v/>
      </c>
      <c r="AB194" s="237" t="str">
        <f>IF(Table1[[#This Row],[Column12]]="","",Table1[[#This Row],[h_disc 1]]+Table1[[#This Row],[h_disc 2]])</f>
        <v/>
      </c>
      <c r="AC194" s="237" t="str">
        <f>IF(Table1[[#This Row],[Column12]]="","",Table1[[#This Row],[h_hargasebelumdiskon]]-Table1[[#This Row],[h_diskon]])</f>
        <v/>
      </c>
      <c r="AD194" s="237" t="str">
        <f ca="1">IF(Table1[[#This Row],[//]]="","",SUMIF(Table1[h_id],Table1[[#This Row],[h_id]],Table1[h_hargasetelahdiskon]))</f>
        <v/>
      </c>
      <c r="AF194" s="237" t="str">
        <f>Table1[[#This Row],[Column12]]&amp;Table1[[#This Row],[Unit]]&amp;Table1[[#This Row],[Column13]]</f>
        <v/>
      </c>
      <c r="AG194"/>
      <c r="AH194"/>
      <c r="AI194"/>
    </row>
    <row r="195" spans="1:35">
      <c r="A195" s="234" t="str">
        <f ca="1">IF(Table1[[#This Row],[No. Invoice :]]="","",ROW())</f>
        <v/>
      </c>
      <c r="B195" s="234" t="str">
        <f ca="1">IF(Table1[[#This Row],[Column3]]="","",B$1+COUNT(INDIRECT("B$2:B"&amp;ROW()-1)))</f>
        <v/>
      </c>
      <c r="C195" s="235" t="str">
        <f>IF(Table1[[#This Row],[Column2]]="","",Table1[[#This Row],[Column2]]+C$1-1)</f>
        <v/>
      </c>
      <c r="E195" s="236"/>
      <c r="F195" s="234"/>
      <c r="G195" s="234" t="str">
        <f ca="1">IF(Table1[[#This Row],[h_No. Invoice :]]="","",CONCATENATE("AM"," ",Table1[[#This Row],[h_No. Invoice :]]))</f>
        <v/>
      </c>
      <c r="H195" s="234" t="str">
        <f>IF(Table1[[#This Row],[Column5]]="","",INDEX(Table2[Column1],MATCH(Table1[[#This Row],[Column5]],Table2[a],0)))</f>
        <v/>
      </c>
      <c r="I195" s="234" t="str">
        <f>IF(Table1[[#This Row],[Column3]]=0,"",CONCATENATE(UPPER(Table1[[#This Row],[Column3]])," ",Table1[[#This Row],[Column4]]))</f>
        <v xml:space="preserve"> </v>
      </c>
      <c r="J195" s="234" t="str">
        <f>IF(Table1[[#This Row],[Column5]]="","",INDEX(Table2[e],IF(Table1[[#This Row],[Column5]]="","",MATCH(Table1[[#This Row],[Column5]],Table2[a],0)),))</f>
        <v/>
      </c>
      <c r="K195" s="234"/>
      <c r="L195" s="234"/>
      <c r="O195" s="234" t="str">
        <f>IF(Table1[[#This Row],[h_Item Description]]="","",INDEX([1]!db[NB PAJAK],MATCH(Table1[[#This Row],[h_Item Description]],[1]!db[kode],0)))</f>
        <v/>
      </c>
      <c r="Q195" s="237"/>
      <c r="R195" s="238"/>
      <c r="S195" s="238"/>
      <c r="T195" s="237" t="str">
        <f>Table1[[#This Row],[h_hargasetelahdiskon]]</f>
        <v/>
      </c>
      <c r="V195" s="234"/>
      <c r="W195" s="234" t="str">
        <f ca="1">IF(Table1[[#This Row],[Column12]]="","",IF(Table1[[#This Row],[//]]="",INDIRECT(ADDRESS(ROW()-1,COLUMN())),Table1[[#This Row],[//]]))</f>
        <v/>
      </c>
      <c r="X195" s="234" t="str">
        <f ca="1">IF(Table1[[#This Row],[h_id]]="","",COUNTIF(Table1[h_id],Table1[[#This Row],[h_id]]))</f>
        <v/>
      </c>
      <c r="Y195" s="237" t="str">
        <f>IF(Table1[[#This Row],[Column12]]="","",Table1[[#This Row],[Qty]]*Table1[[#This Row],[Column13]])</f>
        <v/>
      </c>
      <c r="Z195" s="237" t="str">
        <f>IF(Table1[[#This Row],[h_hargasebelumdiskon]]="","",IF(Table1[[#This Row],[Column14]]="",0,Table1[[#This Row],[h_hargasebelumdiskon]]*Table1[[#This Row],[Column14]]))</f>
        <v/>
      </c>
      <c r="AA195" s="237" t="str">
        <f>IF(Table1[[#This Row],[h_hargasebelumdiskon]]="","",IF(Table1[[#This Row],[Column15]]="",0,(Table1[[#This Row],[h_hargasebelumdiskon]]-Table1[[#This Row],[h_disc 1]])*Table1[[#This Row],[Column15]]))</f>
        <v/>
      </c>
      <c r="AB195" s="237" t="str">
        <f>IF(Table1[[#This Row],[Column12]]="","",Table1[[#This Row],[h_disc 1]]+Table1[[#This Row],[h_disc 2]])</f>
        <v/>
      </c>
      <c r="AC195" s="237" t="str">
        <f>IF(Table1[[#This Row],[Column12]]="","",Table1[[#This Row],[h_hargasebelumdiskon]]-Table1[[#This Row],[h_diskon]])</f>
        <v/>
      </c>
      <c r="AD195" s="237" t="str">
        <f ca="1">IF(Table1[[#This Row],[//]]="","",SUMIF(Table1[h_id],Table1[[#This Row],[h_id]],Table1[h_hargasetelahdiskon]))</f>
        <v/>
      </c>
      <c r="AF195" s="237" t="str">
        <f>Table1[[#This Row],[Column12]]&amp;Table1[[#This Row],[Unit]]&amp;Table1[[#This Row],[Column13]]</f>
        <v/>
      </c>
      <c r="AG195"/>
      <c r="AH195"/>
      <c r="AI195"/>
    </row>
    <row r="196" spans="1:35">
      <c r="A196" s="234" t="str">
        <f ca="1">IF(Table1[[#This Row],[No. Invoice :]]="","",ROW())</f>
        <v/>
      </c>
      <c r="B196" s="234" t="str">
        <f ca="1">IF(Table1[[#This Row],[Column3]]="","",B$1+COUNT(INDIRECT("B$2:B"&amp;ROW()-1)))</f>
        <v/>
      </c>
      <c r="C196" s="235" t="str">
        <f>IF(Table1[[#This Row],[Column2]]="","",Table1[[#This Row],[Column2]]+C$1-1)</f>
        <v/>
      </c>
      <c r="E196" s="236"/>
      <c r="F196" s="234"/>
      <c r="G196" s="234" t="str">
        <f ca="1">IF(Table1[[#This Row],[h_No. Invoice :]]="","",CONCATENATE("AM"," ",Table1[[#This Row],[h_No. Invoice :]]))</f>
        <v/>
      </c>
      <c r="H196" s="234" t="str">
        <f>IF(Table1[[#This Row],[Column5]]="","",INDEX(Table2[Column1],MATCH(Table1[[#This Row],[Column5]],Table2[a],0)))</f>
        <v/>
      </c>
      <c r="I196" s="234" t="str">
        <f>IF(Table1[[#This Row],[Column3]]=0,"",CONCATENATE(UPPER(Table1[[#This Row],[Column3]])," ",Table1[[#This Row],[Column4]]))</f>
        <v xml:space="preserve"> </v>
      </c>
      <c r="J196" s="234" t="str">
        <f>IF(Table1[[#This Row],[Column5]]="","",INDEX(Table2[e],IF(Table1[[#This Row],[Column5]]="","",MATCH(Table1[[#This Row],[Column5]],Table2[a],0)),))</f>
        <v/>
      </c>
      <c r="K196" s="234"/>
      <c r="L196" s="234"/>
      <c r="O196" s="234" t="str">
        <f>IF(Table1[[#This Row],[h_Item Description]]="","",INDEX([1]!db[NB PAJAK],MATCH(Table1[[#This Row],[h_Item Description]],[1]!db[kode],0)))</f>
        <v/>
      </c>
      <c r="Q196" s="237"/>
      <c r="R196" s="238"/>
      <c r="S196" s="238"/>
      <c r="T196" s="237" t="str">
        <f>Table1[[#This Row],[h_hargasetelahdiskon]]</f>
        <v/>
      </c>
      <c r="V196" s="234"/>
      <c r="W196" s="234" t="str">
        <f ca="1">IF(Table1[[#This Row],[Column12]]="","",IF(Table1[[#This Row],[//]]="",INDIRECT(ADDRESS(ROW()-1,COLUMN())),Table1[[#This Row],[//]]))</f>
        <v/>
      </c>
      <c r="X196" s="234" t="str">
        <f ca="1">IF(Table1[[#This Row],[h_id]]="","",COUNTIF(Table1[h_id],Table1[[#This Row],[h_id]]))</f>
        <v/>
      </c>
      <c r="Y196" s="237" t="str">
        <f>IF(Table1[[#This Row],[Column12]]="","",Table1[[#This Row],[Qty]]*Table1[[#This Row],[Column13]])</f>
        <v/>
      </c>
      <c r="Z196" s="237" t="str">
        <f>IF(Table1[[#This Row],[h_hargasebelumdiskon]]="","",IF(Table1[[#This Row],[Column14]]="",0,Table1[[#This Row],[h_hargasebelumdiskon]]*Table1[[#This Row],[Column14]]))</f>
        <v/>
      </c>
      <c r="AA196" s="237" t="str">
        <f>IF(Table1[[#This Row],[h_hargasebelumdiskon]]="","",IF(Table1[[#This Row],[Column15]]="",0,(Table1[[#This Row],[h_hargasebelumdiskon]]-Table1[[#This Row],[h_disc 1]])*Table1[[#This Row],[Column15]]))</f>
        <v/>
      </c>
      <c r="AB196" s="237" t="str">
        <f>IF(Table1[[#This Row],[Column12]]="","",Table1[[#This Row],[h_disc 1]]+Table1[[#This Row],[h_disc 2]])</f>
        <v/>
      </c>
      <c r="AC196" s="237" t="str">
        <f>IF(Table1[[#This Row],[Column12]]="","",Table1[[#This Row],[h_hargasebelumdiskon]]-Table1[[#This Row],[h_diskon]])</f>
        <v/>
      </c>
      <c r="AD196" s="237" t="str">
        <f ca="1">IF(Table1[[#This Row],[//]]="","",SUMIF(Table1[h_id],Table1[[#This Row],[h_id]],Table1[h_hargasetelahdiskon]))</f>
        <v/>
      </c>
      <c r="AF196" s="237" t="str">
        <f>Table1[[#This Row],[Column12]]&amp;Table1[[#This Row],[Unit]]&amp;Table1[[#This Row],[Column13]]</f>
        <v/>
      </c>
      <c r="AG196"/>
      <c r="AH196"/>
      <c r="AI196"/>
    </row>
    <row r="197" spans="1:35">
      <c r="A197" s="234" t="str">
        <f ca="1">IF(Table1[[#This Row],[No. Invoice :]]="","",ROW())</f>
        <v/>
      </c>
      <c r="B197" s="234" t="str">
        <f ca="1">IF(Table1[[#This Row],[Column3]]="","",B$1+COUNT(INDIRECT("B$2:B"&amp;ROW()-1)))</f>
        <v/>
      </c>
      <c r="C197" s="235" t="str">
        <f>IF(Table1[[#This Row],[Column2]]="","",Table1[[#This Row],[Column2]]+C$1-1)</f>
        <v/>
      </c>
      <c r="E197" s="236"/>
      <c r="F197" s="234"/>
      <c r="G197" s="234" t="str">
        <f ca="1">IF(Table1[[#This Row],[h_No. Invoice :]]="","",CONCATENATE("AM"," ",Table1[[#This Row],[h_No. Invoice :]]))</f>
        <v/>
      </c>
      <c r="H197" s="234" t="str">
        <f>IF(Table1[[#This Row],[Column5]]="","",INDEX(Table2[Column1],MATCH(Table1[[#This Row],[Column5]],Table2[a],0)))</f>
        <v/>
      </c>
      <c r="I197" s="234" t="str">
        <f>IF(Table1[[#This Row],[Column3]]=0,"",CONCATENATE(UPPER(Table1[[#This Row],[Column3]])," ",Table1[[#This Row],[Column4]]))</f>
        <v xml:space="preserve"> </v>
      </c>
      <c r="J197" s="234" t="str">
        <f>IF(Table1[[#This Row],[Column5]]="","",INDEX(Table2[e],IF(Table1[[#This Row],[Column5]]="","",MATCH(Table1[[#This Row],[Column5]],Table2[a],0)),))</f>
        <v/>
      </c>
      <c r="K197" s="234"/>
      <c r="L197" s="234"/>
      <c r="O197" s="234" t="str">
        <f>IF(Table1[[#This Row],[h_Item Description]]="","",INDEX([1]!db[NB PAJAK],MATCH(Table1[[#This Row],[h_Item Description]],[1]!db[kode],0)))</f>
        <v/>
      </c>
      <c r="Q197" s="237"/>
      <c r="R197" s="238"/>
      <c r="S197" s="238"/>
      <c r="T197" s="237" t="str">
        <f>Table1[[#This Row],[h_hargasetelahdiskon]]</f>
        <v/>
      </c>
      <c r="V197" s="234"/>
      <c r="W197" s="234" t="str">
        <f ca="1">IF(Table1[[#This Row],[Column12]]="","",IF(Table1[[#This Row],[//]]="",INDIRECT(ADDRESS(ROW()-1,COLUMN())),Table1[[#This Row],[//]]))</f>
        <v/>
      </c>
      <c r="X197" s="234" t="str">
        <f ca="1">IF(Table1[[#This Row],[h_id]]="","",COUNTIF(Table1[h_id],Table1[[#This Row],[h_id]]))</f>
        <v/>
      </c>
      <c r="Y197" s="237" t="str">
        <f>IF(Table1[[#This Row],[Column12]]="","",Table1[[#This Row],[Qty]]*Table1[[#This Row],[Column13]])</f>
        <v/>
      </c>
      <c r="Z197" s="237" t="str">
        <f>IF(Table1[[#This Row],[h_hargasebelumdiskon]]="","",IF(Table1[[#This Row],[Column14]]="",0,Table1[[#This Row],[h_hargasebelumdiskon]]*Table1[[#This Row],[Column14]]))</f>
        <v/>
      </c>
      <c r="AA197" s="237" t="str">
        <f>IF(Table1[[#This Row],[h_hargasebelumdiskon]]="","",IF(Table1[[#This Row],[Column15]]="",0,(Table1[[#This Row],[h_hargasebelumdiskon]]-Table1[[#This Row],[h_disc 1]])*Table1[[#This Row],[Column15]]))</f>
        <v/>
      </c>
      <c r="AB197" s="237" t="str">
        <f>IF(Table1[[#This Row],[Column12]]="","",Table1[[#This Row],[h_disc 1]]+Table1[[#This Row],[h_disc 2]])</f>
        <v/>
      </c>
      <c r="AC197" s="237" t="str">
        <f>IF(Table1[[#This Row],[Column12]]="","",Table1[[#This Row],[h_hargasebelumdiskon]]-Table1[[#This Row],[h_diskon]])</f>
        <v/>
      </c>
      <c r="AD197" s="237" t="str">
        <f ca="1">IF(Table1[[#This Row],[//]]="","",SUMIF(Table1[h_id],Table1[[#This Row],[h_id]],Table1[h_hargasetelahdiskon]))</f>
        <v/>
      </c>
      <c r="AF197" s="237" t="str">
        <f>Table1[[#This Row],[Column12]]&amp;Table1[[#This Row],[Unit]]&amp;Table1[[#This Row],[Column13]]</f>
        <v/>
      </c>
      <c r="AG197"/>
      <c r="AH197"/>
      <c r="AI197"/>
    </row>
    <row r="198" spans="1:35">
      <c r="A198" s="234" t="str">
        <f ca="1">IF(Table1[[#This Row],[No. Invoice :]]="","",ROW())</f>
        <v/>
      </c>
      <c r="B198" s="234" t="str">
        <f ca="1">IF(Table1[[#This Row],[Column3]]="","",B$1+COUNT(INDIRECT("B$2:B"&amp;ROW()-1)))</f>
        <v/>
      </c>
      <c r="C198" s="235" t="str">
        <f>IF(Table1[[#This Row],[Column2]]="","",Table1[[#This Row],[Column2]]+C$1-1)</f>
        <v/>
      </c>
      <c r="E198" s="236"/>
      <c r="F198" s="234"/>
      <c r="G198" s="234" t="str">
        <f ca="1">IF(Table1[[#This Row],[h_No. Invoice :]]="","",CONCATENATE("AM"," ",Table1[[#This Row],[h_No. Invoice :]]))</f>
        <v/>
      </c>
      <c r="H198" s="234" t="str">
        <f>IF(Table1[[#This Row],[Column5]]="","",INDEX(Table2[Column1],MATCH(Table1[[#This Row],[Column5]],Table2[a],0)))</f>
        <v/>
      </c>
      <c r="I198" s="234" t="str">
        <f>IF(Table1[[#This Row],[Column3]]=0,"",CONCATENATE(UPPER(Table1[[#This Row],[Column3]])," ",Table1[[#This Row],[Column4]]))</f>
        <v xml:space="preserve"> </v>
      </c>
      <c r="J198" s="234" t="str">
        <f>IF(Table1[[#This Row],[Column5]]="","",INDEX(Table2[e],IF(Table1[[#This Row],[Column5]]="","",MATCH(Table1[[#This Row],[Column5]],Table2[a],0)),))</f>
        <v/>
      </c>
      <c r="K198" s="234"/>
      <c r="L198" s="234"/>
      <c r="O198" s="234" t="str">
        <f>IF(Table1[[#This Row],[h_Item Description]]="","",INDEX([1]!db[NB PAJAK],MATCH(Table1[[#This Row],[h_Item Description]],[1]!db[kode],0)))</f>
        <v/>
      </c>
      <c r="Q198" s="237"/>
      <c r="R198" s="238"/>
      <c r="S198" s="238"/>
      <c r="T198" s="237" t="str">
        <f>Table1[[#This Row],[h_hargasetelahdiskon]]</f>
        <v/>
      </c>
      <c r="V198" s="234"/>
      <c r="W198" s="234" t="str">
        <f ca="1">IF(Table1[[#This Row],[Column12]]="","",IF(Table1[[#This Row],[//]]="",INDIRECT(ADDRESS(ROW()-1,COLUMN())),Table1[[#This Row],[//]]))</f>
        <v/>
      </c>
      <c r="X198" s="234" t="str">
        <f ca="1">IF(Table1[[#This Row],[h_id]]="","",COUNTIF(Table1[h_id],Table1[[#This Row],[h_id]]))</f>
        <v/>
      </c>
      <c r="Y198" s="237" t="str">
        <f>IF(Table1[[#This Row],[Column12]]="","",Table1[[#This Row],[Qty]]*Table1[[#This Row],[Column13]])</f>
        <v/>
      </c>
      <c r="Z198" s="237" t="str">
        <f>IF(Table1[[#This Row],[h_hargasebelumdiskon]]="","",IF(Table1[[#This Row],[Column14]]="",0,Table1[[#This Row],[h_hargasebelumdiskon]]*Table1[[#This Row],[Column14]]))</f>
        <v/>
      </c>
      <c r="AA198" s="237" t="str">
        <f>IF(Table1[[#This Row],[h_hargasebelumdiskon]]="","",IF(Table1[[#This Row],[Column15]]="",0,(Table1[[#This Row],[h_hargasebelumdiskon]]-Table1[[#This Row],[h_disc 1]])*Table1[[#This Row],[Column15]]))</f>
        <v/>
      </c>
      <c r="AB198" s="237" t="str">
        <f>IF(Table1[[#This Row],[Column12]]="","",Table1[[#This Row],[h_disc 1]]+Table1[[#This Row],[h_disc 2]])</f>
        <v/>
      </c>
      <c r="AC198" s="237" t="str">
        <f>IF(Table1[[#This Row],[Column12]]="","",Table1[[#This Row],[h_hargasebelumdiskon]]-Table1[[#This Row],[h_diskon]])</f>
        <v/>
      </c>
      <c r="AD198" s="237" t="str">
        <f ca="1">IF(Table1[[#This Row],[//]]="","",SUMIF(Table1[h_id],Table1[[#This Row],[h_id]],Table1[h_hargasetelahdiskon]))</f>
        <v/>
      </c>
      <c r="AF198" s="237" t="str">
        <f>Table1[[#This Row],[Column12]]&amp;Table1[[#This Row],[Unit]]&amp;Table1[[#This Row],[Column13]]</f>
        <v/>
      </c>
      <c r="AG198"/>
      <c r="AH198"/>
      <c r="AI198"/>
    </row>
    <row r="199" spans="1:35">
      <c r="A199" s="234" t="str">
        <f ca="1">IF(Table1[[#This Row],[No. Invoice :]]="","",ROW())</f>
        <v/>
      </c>
      <c r="B199" s="234" t="str">
        <f ca="1">IF(Table1[[#This Row],[Column3]]="","",B$1+COUNT(INDIRECT("B$2:B"&amp;ROW()-1)))</f>
        <v/>
      </c>
      <c r="C199" s="235" t="str">
        <f>IF(Table1[[#This Row],[Column2]]="","",Table1[[#This Row],[Column2]]+C$1-1)</f>
        <v/>
      </c>
      <c r="E199" s="236"/>
      <c r="F199" s="234"/>
      <c r="G199" s="234" t="str">
        <f ca="1">IF(Table1[[#This Row],[h_No. Invoice :]]="","",CONCATENATE("AM"," ",Table1[[#This Row],[h_No. Invoice :]]))</f>
        <v/>
      </c>
      <c r="H199" s="234" t="str">
        <f>IF(Table1[[#This Row],[Column5]]="","",INDEX(Table2[Column1],MATCH(Table1[[#This Row],[Column5]],Table2[a],0)))</f>
        <v/>
      </c>
      <c r="I199" s="234" t="str">
        <f>IF(Table1[[#This Row],[Column3]]=0,"",CONCATENATE(UPPER(Table1[[#This Row],[Column3]])," ",Table1[[#This Row],[Column4]]))</f>
        <v xml:space="preserve"> </v>
      </c>
      <c r="J199" s="234" t="str">
        <f>IF(Table1[[#This Row],[Column5]]="","",INDEX(Table2[e],IF(Table1[[#This Row],[Column5]]="","",MATCH(Table1[[#This Row],[Column5]],Table2[a],0)),))</f>
        <v/>
      </c>
      <c r="K199" s="234"/>
      <c r="L199" s="234"/>
      <c r="O199" s="234" t="str">
        <f>IF(Table1[[#This Row],[h_Item Description]]="","",INDEX([1]!db[NB PAJAK],MATCH(Table1[[#This Row],[h_Item Description]],[1]!db[kode],0)))</f>
        <v/>
      </c>
      <c r="Q199" s="237"/>
      <c r="R199" s="238"/>
      <c r="S199" s="238"/>
      <c r="T199" s="237" t="str">
        <f>Table1[[#This Row],[h_hargasetelahdiskon]]</f>
        <v/>
      </c>
      <c r="V199" s="234"/>
      <c r="W199" s="234" t="str">
        <f ca="1">IF(Table1[[#This Row],[Column12]]="","",IF(Table1[[#This Row],[//]]="",INDIRECT(ADDRESS(ROW()-1,COLUMN())),Table1[[#This Row],[//]]))</f>
        <v/>
      </c>
      <c r="X199" s="234" t="str">
        <f ca="1">IF(Table1[[#This Row],[h_id]]="","",COUNTIF(Table1[h_id],Table1[[#This Row],[h_id]]))</f>
        <v/>
      </c>
      <c r="Y199" s="237" t="str">
        <f>IF(Table1[[#This Row],[Column12]]="","",Table1[[#This Row],[Qty]]*Table1[[#This Row],[Column13]])</f>
        <v/>
      </c>
      <c r="Z199" s="237" t="str">
        <f>IF(Table1[[#This Row],[h_hargasebelumdiskon]]="","",IF(Table1[[#This Row],[Column14]]="",0,Table1[[#This Row],[h_hargasebelumdiskon]]*Table1[[#This Row],[Column14]]))</f>
        <v/>
      </c>
      <c r="AA199" s="237" t="str">
        <f>IF(Table1[[#This Row],[h_hargasebelumdiskon]]="","",IF(Table1[[#This Row],[Column15]]="",0,(Table1[[#This Row],[h_hargasebelumdiskon]]-Table1[[#This Row],[h_disc 1]])*Table1[[#This Row],[Column15]]))</f>
        <v/>
      </c>
      <c r="AB199" s="237" t="str">
        <f>IF(Table1[[#This Row],[Column12]]="","",Table1[[#This Row],[h_disc 1]]+Table1[[#This Row],[h_disc 2]])</f>
        <v/>
      </c>
      <c r="AC199" s="237" t="str">
        <f>IF(Table1[[#This Row],[Column12]]="","",Table1[[#This Row],[h_hargasebelumdiskon]]-Table1[[#This Row],[h_diskon]])</f>
        <v/>
      </c>
      <c r="AD199" s="237" t="str">
        <f ca="1">IF(Table1[[#This Row],[//]]="","",SUMIF(Table1[h_id],Table1[[#This Row],[h_id]],Table1[h_hargasetelahdiskon]))</f>
        <v/>
      </c>
      <c r="AF199" s="237" t="str">
        <f>Table1[[#This Row],[Column12]]&amp;Table1[[#This Row],[Unit]]&amp;Table1[[#This Row],[Column13]]</f>
        <v/>
      </c>
      <c r="AG199"/>
      <c r="AH199"/>
      <c r="AI199"/>
    </row>
    <row r="200" spans="1:35">
      <c r="A200" s="234" t="str">
        <f ca="1">IF(Table1[[#This Row],[No. Invoice :]]="","",ROW())</f>
        <v/>
      </c>
      <c r="B200" s="234" t="str">
        <f ca="1">IF(Table1[[#This Row],[Column3]]="","",B$1+COUNT(INDIRECT("B$2:B"&amp;ROW()-1)))</f>
        <v/>
      </c>
      <c r="C200" s="235" t="str">
        <f>IF(Table1[[#This Row],[Column2]]="","",Table1[[#This Row],[Column2]]+C$1-1)</f>
        <v/>
      </c>
      <c r="E200" s="236"/>
      <c r="F200" s="234"/>
      <c r="G200" s="234" t="str">
        <f ca="1">IF(Table1[[#This Row],[h_No. Invoice :]]="","",CONCATENATE("AM"," ",Table1[[#This Row],[h_No. Invoice :]]))</f>
        <v/>
      </c>
      <c r="H200" s="234" t="str">
        <f>IF(Table1[[#This Row],[Column5]]="","",INDEX(Table2[Column1],MATCH(Table1[[#This Row],[Column5]],Table2[a],0)))</f>
        <v/>
      </c>
      <c r="I200" s="234" t="str">
        <f>IF(Table1[[#This Row],[Column3]]=0,"",CONCATENATE(UPPER(Table1[[#This Row],[Column3]])," ",Table1[[#This Row],[Column4]]))</f>
        <v xml:space="preserve"> </v>
      </c>
      <c r="J200" s="234" t="str">
        <f>IF(Table1[[#This Row],[Column5]]="","",INDEX(Table2[e],IF(Table1[[#This Row],[Column5]]="","",MATCH(Table1[[#This Row],[Column5]],Table2[a],0)),))</f>
        <v/>
      </c>
      <c r="K200" s="234"/>
      <c r="L200" s="234"/>
      <c r="O200" s="234" t="str">
        <f>IF(Table1[[#This Row],[h_Item Description]]="","",INDEX([1]!db[NB PAJAK],MATCH(Table1[[#This Row],[h_Item Description]],[1]!db[kode],0)))</f>
        <v/>
      </c>
      <c r="Q200" s="237"/>
      <c r="R200" s="238"/>
      <c r="S200" s="238"/>
      <c r="T200" s="237" t="str">
        <f>Table1[[#This Row],[h_hargasetelahdiskon]]</f>
        <v/>
      </c>
      <c r="V200" s="234"/>
      <c r="W200" s="234" t="str">
        <f ca="1">IF(Table1[[#This Row],[Column12]]="","",IF(Table1[[#This Row],[//]]="",INDIRECT(ADDRESS(ROW()-1,COLUMN())),Table1[[#This Row],[//]]))</f>
        <v/>
      </c>
      <c r="X200" s="234" t="str">
        <f ca="1">IF(Table1[[#This Row],[h_id]]="","",COUNTIF(Table1[h_id],Table1[[#This Row],[h_id]]))</f>
        <v/>
      </c>
      <c r="Y200" s="237" t="str">
        <f>IF(Table1[[#This Row],[Column12]]="","",Table1[[#This Row],[Qty]]*Table1[[#This Row],[Column13]])</f>
        <v/>
      </c>
      <c r="Z200" s="237" t="str">
        <f>IF(Table1[[#This Row],[h_hargasebelumdiskon]]="","",IF(Table1[[#This Row],[Column14]]="",0,Table1[[#This Row],[h_hargasebelumdiskon]]*Table1[[#This Row],[Column14]]))</f>
        <v/>
      </c>
      <c r="AA200" s="237" t="str">
        <f>IF(Table1[[#This Row],[h_hargasebelumdiskon]]="","",IF(Table1[[#This Row],[Column15]]="",0,(Table1[[#This Row],[h_hargasebelumdiskon]]-Table1[[#This Row],[h_disc 1]])*Table1[[#This Row],[Column15]]))</f>
        <v/>
      </c>
      <c r="AB200" s="237" t="str">
        <f>IF(Table1[[#This Row],[Column12]]="","",Table1[[#This Row],[h_disc 1]]+Table1[[#This Row],[h_disc 2]])</f>
        <v/>
      </c>
      <c r="AC200" s="237" t="str">
        <f>IF(Table1[[#This Row],[Column12]]="","",Table1[[#This Row],[h_hargasebelumdiskon]]-Table1[[#This Row],[h_diskon]])</f>
        <v/>
      </c>
      <c r="AD200" s="237" t="str">
        <f ca="1">IF(Table1[[#This Row],[//]]="","",SUMIF(Table1[h_id],Table1[[#This Row],[h_id]],Table1[h_hargasetelahdiskon]))</f>
        <v/>
      </c>
      <c r="AF200" s="237" t="str">
        <f>Table1[[#This Row],[Column12]]&amp;Table1[[#This Row],[Unit]]&amp;Table1[[#This Row],[Column13]]</f>
        <v/>
      </c>
      <c r="AG200"/>
      <c r="AH200"/>
      <c r="AI200"/>
    </row>
    <row r="201" spans="1:35">
      <c r="A201" s="234" t="str">
        <f ca="1">IF(Table1[[#This Row],[No. Invoice :]]="","",ROW())</f>
        <v/>
      </c>
      <c r="B201" s="234" t="str">
        <f ca="1">IF(Table1[[#This Row],[Column3]]="","",B$1+COUNT(INDIRECT("B$2:B"&amp;ROW()-1)))</f>
        <v/>
      </c>
      <c r="C201" s="235" t="str">
        <f>IF(Table1[[#This Row],[Column2]]="","",Table1[[#This Row],[Column2]]+C$1-1)</f>
        <v/>
      </c>
      <c r="E201" s="236"/>
      <c r="F201" s="234"/>
      <c r="G201" s="234" t="str">
        <f ca="1">IF(Table1[[#This Row],[h_No. Invoice :]]="","",CONCATENATE("AM"," ",Table1[[#This Row],[h_No. Invoice :]]))</f>
        <v/>
      </c>
      <c r="H201" s="234" t="str">
        <f>IF(Table1[[#This Row],[Column5]]="","",INDEX(Table2[Column1],MATCH(Table1[[#This Row],[Column5]],Table2[a],0)))</f>
        <v/>
      </c>
      <c r="I201" s="234" t="str">
        <f>IF(Table1[[#This Row],[Column3]]=0,"",CONCATENATE(UPPER(Table1[[#This Row],[Column3]])," ",Table1[[#This Row],[Column4]]))</f>
        <v xml:space="preserve"> </v>
      </c>
      <c r="J201" s="234" t="str">
        <f>IF(Table1[[#This Row],[Column5]]="","",INDEX(Table2[e],IF(Table1[[#This Row],[Column5]]="","",MATCH(Table1[[#This Row],[Column5]],Table2[a],0)),))</f>
        <v/>
      </c>
      <c r="K201" s="234"/>
      <c r="L201" s="234"/>
      <c r="O201" s="234" t="str">
        <f>IF(Table1[[#This Row],[h_Item Description]]="","",INDEX([1]!db[NB PAJAK],MATCH(Table1[[#This Row],[h_Item Description]],[1]!db[kode],0)))</f>
        <v/>
      </c>
      <c r="Q201" s="237"/>
      <c r="R201" s="238"/>
      <c r="S201" s="238"/>
      <c r="T201" s="237" t="str">
        <f>Table1[[#This Row],[h_hargasetelahdiskon]]</f>
        <v/>
      </c>
      <c r="V201" s="234"/>
      <c r="W201" s="234" t="str">
        <f ca="1">IF(Table1[[#This Row],[Column12]]="","",IF(Table1[[#This Row],[//]]="",INDIRECT(ADDRESS(ROW()-1,COLUMN())),Table1[[#This Row],[//]]))</f>
        <v/>
      </c>
      <c r="X201" s="234" t="str">
        <f ca="1">IF(Table1[[#This Row],[h_id]]="","",COUNTIF(Table1[h_id],Table1[[#This Row],[h_id]]))</f>
        <v/>
      </c>
      <c r="Y201" s="237" t="str">
        <f>IF(Table1[[#This Row],[Column12]]="","",Table1[[#This Row],[Qty]]*Table1[[#This Row],[Column13]])</f>
        <v/>
      </c>
      <c r="Z201" s="237" t="str">
        <f>IF(Table1[[#This Row],[h_hargasebelumdiskon]]="","",IF(Table1[[#This Row],[Column14]]="",0,Table1[[#This Row],[h_hargasebelumdiskon]]*Table1[[#This Row],[Column14]]))</f>
        <v/>
      </c>
      <c r="AA201" s="237" t="str">
        <f>IF(Table1[[#This Row],[h_hargasebelumdiskon]]="","",IF(Table1[[#This Row],[Column15]]="",0,(Table1[[#This Row],[h_hargasebelumdiskon]]-Table1[[#This Row],[h_disc 1]])*Table1[[#This Row],[Column15]]))</f>
        <v/>
      </c>
      <c r="AB201" s="237" t="str">
        <f>IF(Table1[[#This Row],[Column12]]="","",Table1[[#This Row],[h_disc 1]]+Table1[[#This Row],[h_disc 2]])</f>
        <v/>
      </c>
      <c r="AC201" s="237" t="str">
        <f>IF(Table1[[#This Row],[Column12]]="","",Table1[[#This Row],[h_hargasebelumdiskon]]-Table1[[#This Row],[h_diskon]])</f>
        <v/>
      </c>
      <c r="AD201" s="237" t="str">
        <f ca="1">IF(Table1[[#This Row],[//]]="","",SUMIF(Table1[h_id],Table1[[#This Row],[h_id]],Table1[h_hargasetelahdiskon]))</f>
        <v/>
      </c>
      <c r="AF201" s="237" t="str">
        <f>Table1[[#This Row],[Column12]]&amp;Table1[[#This Row],[Unit]]&amp;Table1[[#This Row],[Column13]]</f>
        <v/>
      </c>
      <c r="AG201"/>
      <c r="AH201"/>
      <c r="AI201"/>
    </row>
    <row r="202" spans="1:35">
      <c r="A202" s="234" t="str">
        <f ca="1">IF(Table1[[#This Row],[No. Invoice :]]="","",ROW())</f>
        <v/>
      </c>
      <c r="B202" s="234" t="str">
        <f ca="1">IF(Table1[[#This Row],[Column3]]="","",B$1+COUNT(INDIRECT("B$2:B"&amp;ROW()-1)))</f>
        <v/>
      </c>
      <c r="C202" s="235" t="str">
        <f>IF(Table1[[#This Row],[Column2]]="","",Table1[[#This Row],[Column2]]+C$1-1)</f>
        <v/>
      </c>
      <c r="E202" s="236"/>
      <c r="F202" s="234"/>
      <c r="G202" s="234" t="str">
        <f ca="1">IF(Table1[[#This Row],[h_No. Invoice :]]="","",CONCATENATE("AM"," ",Table1[[#This Row],[h_No. Invoice :]]))</f>
        <v/>
      </c>
      <c r="H202" s="234" t="str">
        <f>IF(Table1[[#This Row],[Column5]]="","",INDEX(Table2[Column1],MATCH(Table1[[#This Row],[Column5]],Table2[a],0)))</f>
        <v/>
      </c>
      <c r="I202" s="234" t="str">
        <f>IF(Table1[[#This Row],[Column3]]=0,"",CONCATENATE(UPPER(Table1[[#This Row],[Column3]])," ",Table1[[#This Row],[Column4]]))</f>
        <v xml:space="preserve"> </v>
      </c>
      <c r="J202" s="234" t="str">
        <f>IF(Table1[[#This Row],[Column5]]="","",INDEX(Table2[e],IF(Table1[[#This Row],[Column5]]="","",MATCH(Table1[[#This Row],[Column5]],Table2[a],0)),))</f>
        <v/>
      </c>
      <c r="K202" s="234"/>
      <c r="L202" s="234"/>
      <c r="O202" s="234" t="str">
        <f>IF(Table1[[#This Row],[h_Item Description]]="","",INDEX([1]!db[NB PAJAK],MATCH(Table1[[#This Row],[h_Item Description]],[1]!db[kode],0)))</f>
        <v/>
      </c>
      <c r="Q202" s="237"/>
      <c r="R202" s="238"/>
      <c r="S202" s="238"/>
      <c r="T202" s="237" t="str">
        <f>Table1[[#This Row],[h_hargasetelahdiskon]]</f>
        <v/>
      </c>
      <c r="V202" s="234"/>
      <c r="W202" s="234" t="str">
        <f ca="1">IF(Table1[[#This Row],[Column12]]="","",IF(Table1[[#This Row],[//]]="",INDIRECT(ADDRESS(ROW()-1,COLUMN())),Table1[[#This Row],[//]]))</f>
        <v/>
      </c>
      <c r="X202" s="234" t="str">
        <f ca="1">IF(Table1[[#This Row],[h_id]]="","",COUNTIF(Table1[h_id],Table1[[#This Row],[h_id]]))</f>
        <v/>
      </c>
      <c r="Y202" s="237" t="str">
        <f>IF(Table1[[#This Row],[Column12]]="","",Table1[[#This Row],[Qty]]*Table1[[#This Row],[Column13]])</f>
        <v/>
      </c>
      <c r="Z202" s="237" t="str">
        <f>IF(Table1[[#This Row],[h_hargasebelumdiskon]]="","",IF(Table1[[#This Row],[Column14]]="",0,Table1[[#This Row],[h_hargasebelumdiskon]]*Table1[[#This Row],[Column14]]))</f>
        <v/>
      </c>
      <c r="AA202" s="237" t="str">
        <f>IF(Table1[[#This Row],[h_hargasebelumdiskon]]="","",IF(Table1[[#This Row],[Column15]]="",0,(Table1[[#This Row],[h_hargasebelumdiskon]]-Table1[[#This Row],[h_disc 1]])*Table1[[#This Row],[Column15]]))</f>
        <v/>
      </c>
      <c r="AB202" s="237" t="str">
        <f>IF(Table1[[#This Row],[Column12]]="","",Table1[[#This Row],[h_disc 1]]+Table1[[#This Row],[h_disc 2]])</f>
        <v/>
      </c>
      <c r="AC202" s="237" t="str">
        <f>IF(Table1[[#This Row],[Column12]]="","",Table1[[#This Row],[h_hargasebelumdiskon]]-Table1[[#This Row],[h_diskon]])</f>
        <v/>
      </c>
      <c r="AD202" s="237" t="str">
        <f ca="1">IF(Table1[[#This Row],[//]]="","",SUMIF(Table1[h_id],Table1[[#This Row],[h_id]],Table1[h_hargasetelahdiskon]))</f>
        <v/>
      </c>
      <c r="AF202" s="237" t="str">
        <f>Table1[[#This Row],[Column12]]&amp;Table1[[#This Row],[Unit]]&amp;Table1[[#This Row],[Column13]]</f>
        <v/>
      </c>
      <c r="AG202"/>
      <c r="AH202"/>
      <c r="AI202"/>
    </row>
    <row r="203" spans="1:35">
      <c r="A203" s="234" t="str">
        <f ca="1">IF(Table1[[#This Row],[No. Invoice :]]="","",ROW())</f>
        <v/>
      </c>
      <c r="B203" s="432" t="str">
        <f ca="1">IF(Table1[[#This Row],[Column3]]="","",B$1+COUNT(INDIRECT("B$2:B"&amp;ROW()-1)))</f>
        <v/>
      </c>
      <c r="C203" s="235" t="str">
        <f>IF(Table1[[#This Row],[Column2]]="","",Table1[[#This Row],[Column2]]+C$1-1)</f>
        <v/>
      </c>
      <c r="D203" s="433"/>
      <c r="E203" s="434"/>
      <c r="F203" s="432"/>
      <c r="G203" s="234" t="str">
        <f ca="1">IF(Table1[[#This Row],[h_No. Invoice :]]="","",CONCATENATE("AM"," ",Table1[[#This Row],[h_No. Invoice :]]))</f>
        <v/>
      </c>
      <c r="H203" s="432" t="str">
        <f>IF(Table1[[#This Row],[Column5]]="","",INDEX(Table2[Column1],MATCH(Table1[[#This Row],[Column5]],Table2[a],0)))</f>
        <v/>
      </c>
      <c r="I203" s="234" t="str">
        <f>IF(Table1[[#This Row],[Column3]]=0,"",CONCATENATE(UPPER(Table1[[#This Row],[Column3]])," ",Table1[[#This Row],[Column4]]))</f>
        <v xml:space="preserve"> </v>
      </c>
      <c r="J203" s="234" t="str">
        <f>IF(Table1[[#This Row],[Column5]]="","",INDEX(Table2[e],IF(Table1[[#This Row],[Column5]]="","",MATCH(Table1[[#This Row],[Column5]],Table2[a],0)),))</f>
        <v/>
      </c>
      <c r="K203" s="234"/>
      <c r="L203" s="234"/>
      <c r="N203" s="432"/>
      <c r="O203" s="432" t="str">
        <f>IF(Table1[[#This Row],[h_Item Description]]="","",INDEX([1]!db[NB PAJAK],MATCH(Table1[[#This Row],[h_Item Description]],[1]!db[kode],0)))</f>
        <v/>
      </c>
      <c r="Q203" s="237"/>
      <c r="R203" s="238"/>
      <c r="S203" s="238"/>
      <c r="T203" s="435" t="str">
        <f>Table1[[#This Row],[h_hargasetelahdiskon]]</f>
        <v/>
      </c>
      <c r="V203" s="234"/>
      <c r="W203" s="234" t="str">
        <f ca="1">IF(Table1[[#This Row],[Column12]]="","",IF(Table1[[#This Row],[//]]="",INDIRECT(ADDRESS(ROW()-1,COLUMN())),Table1[[#This Row],[//]]))</f>
        <v/>
      </c>
      <c r="X203" s="234" t="str">
        <f ca="1">IF(Table1[[#This Row],[h_id]]="","",COUNTIF(Table1[h_id],Table1[[#This Row],[h_id]]))</f>
        <v/>
      </c>
      <c r="Y203" s="237" t="str">
        <f>IF(Table1[[#This Row],[Column12]]="","",Table1[[#This Row],[Qty]]*Table1[[#This Row],[Column13]])</f>
        <v/>
      </c>
      <c r="Z203" s="435" t="str">
        <f>IF(Table1[[#This Row],[h_hargasebelumdiskon]]="","",IF(Table1[[#This Row],[Column14]]="",0,Table1[[#This Row],[h_hargasebelumdiskon]]*Table1[[#This Row],[Column14]]))</f>
        <v/>
      </c>
      <c r="AA203" s="435" t="str">
        <f>IF(Table1[[#This Row],[h_hargasebelumdiskon]]="","",IF(Table1[[#This Row],[Column15]]="",0,(Table1[[#This Row],[h_hargasebelumdiskon]]-Table1[[#This Row],[h_disc 1]])*Table1[[#This Row],[Column15]]))</f>
        <v/>
      </c>
      <c r="AB203" s="237" t="str">
        <f>IF(Table1[[#This Row],[Column12]]="","",Table1[[#This Row],[h_disc 1]]+Table1[[#This Row],[h_disc 2]])</f>
        <v/>
      </c>
      <c r="AC203" s="237" t="str">
        <f>IF(Table1[[#This Row],[Column12]]="","",Table1[[#This Row],[h_hargasebelumdiskon]]-Table1[[#This Row],[h_diskon]])</f>
        <v/>
      </c>
      <c r="AD203" s="237" t="str">
        <f ca="1">IF(Table1[[#This Row],[//]]="","",SUMIF(Table1[h_id],Table1[[#This Row],[h_id]],Table1[h_hargasetelahdiskon]))</f>
        <v/>
      </c>
      <c r="AF203" s="237" t="str">
        <f>Table1[[#This Row],[Column12]]&amp;Table1[[#This Row],[Unit]]&amp;Table1[[#This Row],[Column13]]</f>
        <v/>
      </c>
      <c r="AG203"/>
      <c r="AH203"/>
      <c r="AI203"/>
    </row>
    <row r="204" spans="1:35">
      <c r="A204" s="234" t="str">
        <f ca="1">IF(Table1[[#This Row],[No. Invoice :]]="","",ROW())</f>
        <v/>
      </c>
      <c r="B204" s="234" t="str">
        <f ca="1">IF(Table1[[#This Row],[Column3]]="","",B$1+COUNT(INDIRECT("B$2:B"&amp;ROW()-1)))</f>
        <v/>
      </c>
      <c r="C204" s="235" t="str">
        <f>IF(Table1[[#This Row],[Column2]]="","",Table1[[#This Row],[Column2]]+C$1-1)</f>
        <v/>
      </c>
      <c r="E204" s="236"/>
      <c r="F204" s="234"/>
      <c r="G204" s="234" t="str">
        <f ca="1">IF(Table1[[#This Row],[h_No. Invoice :]]="","",CONCATENATE("AM"," ",Table1[[#This Row],[h_No. Invoice :]]))</f>
        <v/>
      </c>
      <c r="H204" s="234" t="str">
        <f>IF(Table1[[#This Row],[Column5]]="","",INDEX(Table2[Column1],MATCH(Table1[[#This Row],[Column5]],Table2[a],0)))</f>
        <v/>
      </c>
      <c r="I204" s="234" t="str">
        <f>IF(Table1[[#This Row],[Column3]]=0,"",CONCATENATE(UPPER(Table1[[#This Row],[Column3]])," ",Table1[[#This Row],[Column4]]))</f>
        <v xml:space="preserve"> </v>
      </c>
      <c r="J204" s="234" t="str">
        <f>IF(Table1[[#This Row],[Column5]]="","",INDEX(Table2[e],IF(Table1[[#This Row],[Column5]]="","",MATCH(Table1[[#This Row],[Column5]],Table2[a],0)),))</f>
        <v/>
      </c>
      <c r="K204" s="234"/>
      <c r="L204" s="234"/>
      <c r="O204" s="234" t="str">
        <f>IF(Table1[[#This Row],[h_Item Description]]="","",INDEX([1]!db[NB PAJAK],MATCH(Table1[[#This Row],[h_Item Description]],[1]!db[kode],0)))</f>
        <v/>
      </c>
      <c r="Q204" s="237"/>
      <c r="R204" s="238"/>
      <c r="S204" s="238"/>
      <c r="T204" s="237" t="str">
        <f>Table1[[#This Row],[h_hargasetelahdiskon]]</f>
        <v/>
      </c>
      <c r="V204" s="234"/>
      <c r="W204" s="234" t="str">
        <f ca="1">IF(Table1[[#This Row],[Column12]]="","",IF(Table1[[#This Row],[//]]="",INDIRECT(ADDRESS(ROW()-1,COLUMN())),Table1[[#This Row],[//]]))</f>
        <v/>
      </c>
      <c r="X204" s="234" t="str">
        <f ca="1">IF(Table1[[#This Row],[h_id]]="","",COUNTIF(Table1[h_id],Table1[[#This Row],[h_id]]))</f>
        <v/>
      </c>
      <c r="Y204" s="237" t="str">
        <f>IF(Table1[[#This Row],[Column12]]="","",Table1[[#This Row],[Qty]]*Table1[[#This Row],[Column13]])</f>
        <v/>
      </c>
      <c r="Z204" s="237" t="str">
        <f>IF(Table1[[#This Row],[h_hargasebelumdiskon]]="","",IF(Table1[[#This Row],[Column14]]="",0,Table1[[#This Row],[h_hargasebelumdiskon]]*Table1[[#This Row],[Column14]]))</f>
        <v/>
      </c>
      <c r="AA204" s="237" t="str">
        <f>IF(Table1[[#This Row],[h_hargasebelumdiskon]]="","",IF(Table1[[#This Row],[Column15]]="",0,(Table1[[#This Row],[h_hargasebelumdiskon]]-Table1[[#This Row],[h_disc 1]])*Table1[[#This Row],[Column15]]))</f>
        <v/>
      </c>
      <c r="AB204" s="237" t="str">
        <f>IF(Table1[[#This Row],[Column12]]="","",Table1[[#This Row],[h_disc 1]]+Table1[[#This Row],[h_disc 2]])</f>
        <v/>
      </c>
      <c r="AC204" s="237" t="str">
        <f>IF(Table1[[#This Row],[Column12]]="","",Table1[[#This Row],[h_hargasebelumdiskon]]-Table1[[#This Row],[h_diskon]])</f>
        <v/>
      </c>
      <c r="AD204" s="237" t="str">
        <f ca="1">IF(Table1[[#This Row],[//]]="","",SUMIF(Table1[h_id],Table1[[#This Row],[h_id]],Table1[h_hargasetelahdiskon]))</f>
        <v/>
      </c>
      <c r="AF204" s="237" t="str">
        <f>Table1[[#This Row],[Column12]]&amp;Table1[[#This Row],[Unit]]&amp;Table1[[#This Row],[Column13]]</f>
        <v/>
      </c>
      <c r="AG204"/>
      <c r="AH204"/>
      <c r="AI204"/>
    </row>
    <row r="205" spans="1:35">
      <c r="A205" s="234" t="str">
        <f ca="1">IF(Table1[[#This Row],[No. Invoice :]]="","",ROW())</f>
        <v/>
      </c>
      <c r="B205" s="432" t="str">
        <f ca="1">IF(Table1[[#This Row],[Column3]]="","",B$1+COUNT(INDIRECT("B$2:B"&amp;ROW()-1)))</f>
        <v/>
      </c>
      <c r="C205" s="235" t="str">
        <f>IF(Table1[[#This Row],[Column2]]="","",Table1[[#This Row],[Column2]]+C$1-1)</f>
        <v/>
      </c>
      <c r="D205" s="433"/>
      <c r="E205" s="434"/>
      <c r="F205" s="432"/>
      <c r="G205" s="234" t="str">
        <f ca="1">IF(Table1[[#This Row],[h_No. Invoice :]]="","",CONCATENATE("AM"," ",Table1[[#This Row],[h_No. Invoice :]]))</f>
        <v/>
      </c>
      <c r="H205" s="432" t="str">
        <f>IF(Table1[[#This Row],[Column5]]="","",INDEX(Table2[Column1],MATCH(Table1[[#This Row],[Column5]],Table2[a],0)))</f>
        <v/>
      </c>
      <c r="I205" s="234" t="str">
        <f>IF(Table1[[#This Row],[Column3]]=0,"",CONCATENATE(UPPER(Table1[[#This Row],[Column3]])," ",Table1[[#This Row],[Column4]]))</f>
        <v xml:space="preserve"> </v>
      </c>
      <c r="J205" s="234" t="str">
        <f>IF(Table1[[#This Row],[Column5]]="","",INDEX(Table2[e],IF(Table1[[#This Row],[Column5]]="","",MATCH(Table1[[#This Row],[Column5]],Table2[a],0)),))</f>
        <v/>
      </c>
      <c r="K205" s="234"/>
      <c r="L205" s="234"/>
      <c r="N205" s="432"/>
      <c r="O205" s="432" t="str">
        <f>IF(Table1[[#This Row],[h_Item Description]]="","",INDEX([1]!db[NB PAJAK],MATCH(Table1[[#This Row],[h_Item Description]],[1]!db[kode],0)))</f>
        <v/>
      </c>
      <c r="Q205" s="237"/>
      <c r="R205" s="238"/>
      <c r="S205" s="238"/>
      <c r="T205" s="435" t="str">
        <f>Table1[[#This Row],[h_hargasetelahdiskon]]</f>
        <v/>
      </c>
      <c r="V205" s="234"/>
      <c r="W205" s="234" t="str">
        <f ca="1">IF(Table1[[#This Row],[Column12]]="","",IF(Table1[[#This Row],[//]]="",INDIRECT(ADDRESS(ROW()-1,COLUMN())),Table1[[#This Row],[//]]))</f>
        <v/>
      </c>
      <c r="X205" s="234" t="str">
        <f ca="1">IF(Table1[[#This Row],[h_id]]="","",COUNTIF(Table1[h_id],Table1[[#This Row],[h_id]]))</f>
        <v/>
      </c>
      <c r="Y205" s="237" t="str">
        <f>IF(Table1[[#This Row],[Column12]]="","",Table1[[#This Row],[Qty]]*Table1[[#This Row],[Column13]])</f>
        <v/>
      </c>
      <c r="Z205" s="435" t="str">
        <f>IF(Table1[[#This Row],[h_hargasebelumdiskon]]="","",IF(Table1[[#This Row],[Column14]]="",0,Table1[[#This Row],[h_hargasebelumdiskon]]*Table1[[#This Row],[Column14]]))</f>
        <v/>
      </c>
      <c r="AA205" s="435" t="str">
        <f>IF(Table1[[#This Row],[h_hargasebelumdiskon]]="","",IF(Table1[[#This Row],[Column15]]="",0,(Table1[[#This Row],[h_hargasebelumdiskon]]-Table1[[#This Row],[h_disc 1]])*Table1[[#This Row],[Column15]]))</f>
        <v/>
      </c>
      <c r="AB205" s="237" t="str">
        <f>IF(Table1[[#This Row],[Column12]]="","",Table1[[#This Row],[h_disc 1]]+Table1[[#This Row],[h_disc 2]])</f>
        <v/>
      </c>
      <c r="AC205" s="237" t="str">
        <f>IF(Table1[[#This Row],[Column12]]="","",Table1[[#This Row],[h_hargasebelumdiskon]]-Table1[[#This Row],[h_diskon]])</f>
        <v/>
      </c>
      <c r="AD205" s="237" t="str">
        <f ca="1">IF(Table1[[#This Row],[//]]="","",SUMIF(Table1[h_id],Table1[[#This Row],[h_id]],Table1[h_hargasetelahdiskon]))</f>
        <v/>
      </c>
      <c r="AF205" s="237" t="str">
        <f>Table1[[#This Row],[Column12]]&amp;Table1[[#This Row],[Unit]]&amp;Table1[[#This Row],[Column13]]</f>
        <v/>
      </c>
      <c r="AG205"/>
      <c r="AH205"/>
      <c r="AI205"/>
    </row>
    <row r="206" spans="1:35">
      <c r="A206" s="234" t="str">
        <f ca="1">IF(Table1[[#This Row],[No. Invoice :]]="","",ROW())</f>
        <v/>
      </c>
      <c r="B206" s="432" t="str">
        <f ca="1">IF(Table1[[#This Row],[Column3]]="","",B$1+COUNT(INDIRECT("B$2:B"&amp;ROW()-1)))</f>
        <v/>
      </c>
      <c r="C206" s="235" t="str">
        <f>IF(Table1[[#This Row],[Column2]]="","",Table1[[#This Row],[Column2]]+C$1-1)</f>
        <v/>
      </c>
      <c r="D206" s="433"/>
      <c r="E206" s="434"/>
      <c r="F206" s="432"/>
      <c r="G206" s="234" t="str">
        <f ca="1">IF(Table1[[#This Row],[h_No. Invoice :]]="","",CONCATENATE("AM"," ",Table1[[#This Row],[h_No. Invoice :]]))</f>
        <v/>
      </c>
      <c r="H206" s="432" t="str">
        <f>IF(Table1[[#This Row],[Column5]]="","",INDEX(Table2[Column1],MATCH(Table1[[#This Row],[Column5]],Table2[a],0)))</f>
        <v/>
      </c>
      <c r="I206" s="234" t="str">
        <f>IF(Table1[[#This Row],[Column3]]=0,"",CONCATENATE(UPPER(Table1[[#This Row],[Column3]])," ",Table1[[#This Row],[Column4]]))</f>
        <v xml:space="preserve"> </v>
      </c>
      <c r="J206" s="234" t="str">
        <f>IF(Table1[[#This Row],[Column5]]="","",INDEX(Table2[e],IF(Table1[[#This Row],[Column5]]="","",MATCH(Table1[[#This Row],[Column5]],Table2[a],0)),))</f>
        <v/>
      </c>
      <c r="K206" s="234"/>
      <c r="L206" s="234"/>
      <c r="N206" s="432"/>
      <c r="O206" s="432" t="str">
        <f>IF(Table1[[#This Row],[h_Item Description]]="","",INDEX([1]!db[NB PAJAK],MATCH(Table1[[#This Row],[h_Item Description]],[1]!db[kode],0)))</f>
        <v/>
      </c>
      <c r="Q206" s="237"/>
      <c r="R206" s="238"/>
      <c r="S206" s="238"/>
      <c r="T206" s="435" t="str">
        <f>Table1[[#This Row],[h_hargasetelahdiskon]]</f>
        <v/>
      </c>
      <c r="V206" s="234"/>
      <c r="W206" s="234" t="str">
        <f ca="1">IF(Table1[[#This Row],[Column12]]="","",IF(Table1[[#This Row],[//]]="",INDIRECT(ADDRESS(ROW()-1,COLUMN())),Table1[[#This Row],[//]]))</f>
        <v/>
      </c>
      <c r="X206" s="234" t="str">
        <f ca="1">IF(Table1[[#This Row],[h_id]]="","",COUNTIF(Table1[h_id],Table1[[#This Row],[h_id]]))</f>
        <v/>
      </c>
      <c r="Y206" s="237" t="str">
        <f>IF(Table1[[#This Row],[Column12]]="","",Table1[[#This Row],[Qty]]*Table1[[#This Row],[Column13]])</f>
        <v/>
      </c>
      <c r="Z206" s="435" t="str">
        <f>IF(Table1[[#This Row],[h_hargasebelumdiskon]]="","",IF(Table1[[#This Row],[Column14]]="",0,Table1[[#This Row],[h_hargasebelumdiskon]]*Table1[[#This Row],[Column14]]))</f>
        <v/>
      </c>
      <c r="AA206" s="435" t="str">
        <f>IF(Table1[[#This Row],[h_hargasebelumdiskon]]="","",IF(Table1[[#This Row],[Column15]]="",0,(Table1[[#This Row],[h_hargasebelumdiskon]]-Table1[[#This Row],[h_disc 1]])*Table1[[#This Row],[Column15]]))</f>
        <v/>
      </c>
      <c r="AB206" s="237" t="str">
        <f>IF(Table1[[#This Row],[Column12]]="","",Table1[[#This Row],[h_disc 1]]+Table1[[#This Row],[h_disc 2]])</f>
        <v/>
      </c>
      <c r="AC206" s="237" t="str">
        <f>IF(Table1[[#This Row],[Column12]]="","",Table1[[#This Row],[h_hargasebelumdiskon]]-Table1[[#This Row],[h_diskon]])</f>
        <v/>
      </c>
      <c r="AD206" s="237" t="str">
        <f ca="1">IF(Table1[[#This Row],[//]]="","",SUMIF(Table1[h_id],Table1[[#This Row],[h_id]],Table1[h_hargasetelahdiskon]))</f>
        <v/>
      </c>
      <c r="AF206" s="237" t="str">
        <f>Table1[[#This Row],[Column12]]&amp;Table1[[#This Row],[Unit]]&amp;Table1[[#This Row],[Column13]]</f>
        <v/>
      </c>
      <c r="AG206"/>
      <c r="AH206"/>
      <c r="AI206"/>
    </row>
    <row r="207" spans="1:35">
      <c r="A207" s="234" t="str">
        <f ca="1">IF(Table1[[#This Row],[No. Invoice :]]="","",ROW())</f>
        <v/>
      </c>
      <c r="B207" s="432" t="str">
        <f ca="1">IF(Table1[[#This Row],[Column3]]="","",B$1+COUNT(INDIRECT("B$2:B"&amp;ROW()-1)))</f>
        <v/>
      </c>
      <c r="C207" s="235" t="str">
        <f>IF(Table1[[#This Row],[Column2]]="","",Table1[[#This Row],[Column2]]+C$1-1)</f>
        <v/>
      </c>
      <c r="D207" s="433"/>
      <c r="E207" s="434"/>
      <c r="F207" s="432"/>
      <c r="G207" s="234" t="str">
        <f ca="1">IF(Table1[[#This Row],[h_No. Invoice :]]="","",CONCATENATE("AM"," ",Table1[[#This Row],[h_No. Invoice :]]))</f>
        <v/>
      </c>
      <c r="H207" s="432" t="str">
        <f>IF(Table1[[#This Row],[Column5]]="","",INDEX(Table2[Column1],MATCH(Table1[[#This Row],[Column5]],Table2[a],0)))</f>
        <v/>
      </c>
      <c r="I207" s="234" t="str">
        <f>IF(Table1[[#This Row],[Column3]]=0,"",CONCATENATE(UPPER(Table1[[#This Row],[Column3]])," ",Table1[[#This Row],[Column4]]))</f>
        <v xml:space="preserve"> </v>
      </c>
      <c r="J207" s="234" t="str">
        <f>IF(Table1[[#This Row],[Column5]]="","",INDEX(Table2[e],IF(Table1[[#This Row],[Column5]]="","",MATCH(Table1[[#This Row],[Column5]],Table2[a],0)),))</f>
        <v/>
      </c>
      <c r="K207" s="234"/>
      <c r="L207" s="234"/>
      <c r="N207" s="432"/>
      <c r="O207" s="432" t="str">
        <f>IF(Table1[[#This Row],[h_Item Description]]="","",INDEX([1]!db[NB PAJAK],MATCH(Table1[[#This Row],[h_Item Description]],[1]!db[kode],0)))</f>
        <v/>
      </c>
      <c r="Q207" s="237"/>
      <c r="R207" s="238"/>
      <c r="S207" s="238"/>
      <c r="T207" s="435" t="str">
        <f>Table1[[#This Row],[h_hargasetelahdiskon]]</f>
        <v/>
      </c>
      <c r="V207" s="234"/>
      <c r="W207" s="234" t="str">
        <f ca="1">IF(Table1[[#This Row],[Column12]]="","",IF(Table1[[#This Row],[//]]="",INDIRECT(ADDRESS(ROW()-1,COLUMN())),Table1[[#This Row],[//]]))</f>
        <v/>
      </c>
      <c r="X207" s="234" t="str">
        <f ca="1">IF(Table1[[#This Row],[h_id]]="","",COUNTIF(Table1[h_id],Table1[[#This Row],[h_id]]))</f>
        <v/>
      </c>
      <c r="Y207" s="237" t="str">
        <f>IF(Table1[[#This Row],[Column12]]="","",Table1[[#This Row],[Qty]]*Table1[[#This Row],[Column13]])</f>
        <v/>
      </c>
      <c r="Z207" s="435" t="str">
        <f>IF(Table1[[#This Row],[h_hargasebelumdiskon]]="","",IF(Table1[[#This Row],[Column14]]="",0,Table1[[#This Row],[h_hargasebelumdiskon]]*Table1[[#This Row],[Column14]]))</f>
        <v/>
      </c>
      <c r="AA207" s="435" t="str">
        <f>IF(Table1[[#This Row],[h_hargasebelumdiskon]]="","",IF(Table1[[#This Row],[Column15]]="",0,(Table1[[#This Row],[h_hargasebelumdiskon]]-Table1[[#This Row],[h_disc 1]])*Table1[[#This Row],[Column15]]))</f>
        <v/>
      </c>
      <c r="AB207" s="237" t="str">
        <f>IF(Table1[[#This Row],[Column12]]="","",Table1[[#This Row],[h_disc 1]]+Table1[[#This Row],[h_disc 2]])</f>
        <v/>
      </c>
      <c r="AC207" s="237" t="str">
        <f>IF(Table1[[#This Row],[Column12]]="","",Table1[[#This Row],[h_hargasebelumdiskon]]-Table1[[#This Row],[h_diskon]])</f>
        <v/>
      </c>
      <c r="AD207" s="237" t="str">
        <f ca="1">IF(Table1[[#This Row],[//]]="","",SUMIF(Table1[h_id],Table1[[#This Row],[h_id]],Table1[h_hargasetelahdiskon]))</f>
        <v/>
      </c>
      <c r="AF207" s="237" t="str">
        <f>Table1[[#This Row],[Column12]]&amp;Table1[[#This Row],[Unit]]&amp;Table1[[#This Row],[Column13]]</f>
        <v/>
      </c>
      <c r="AG207"/>
      <c r="AH207"/>
      <c r="AI207"/>
    </row>
    <row r="208" spans="1:35">
      <c r="A208" s="234" t="str">
        <f ca="1">IF(Table1[[#This Row],[No. Invoice :]]="","",ROW())</f>
        <v/>
      </c>
      <c r="B208" s="432" t="str">
        <f ca="1">IF(Table1[[#This Row],[Column3]]="","",B$1+COUNT(INDIRECT("B$2:B"&amp;ROW()-1)))</f>
        <v/>
      </c>
      <c r="C208" s="235" t="str">
        <f>IF(Table1[[#This Row],[Column2]]="","",Table1[[#This Row],[Column2]]+C$1-1)</f>
        <v/>
      </c>
      <c r="D208" s="433"/>
      <c r="E208" s="434"/>
      <c r="F208" s="432"/>
      <c r="G208" s="234" t="str">
        <f ca="1">IF(Table1[[#This Row],[h_No. Invoice :]]="","",CONCATENATE("AM"," ",Table1[[#This Row],[h_No. Invoice :]]))</f>
        <v/>
      </c>
      <c r="H208" s="432" t="str">
        <f>IF(Table1[[#This Row],[Column5]]="","",INDEX(Table2[Column1],MATCH(Table1[[#This Row],[Column5]],Table2[a],0)))</f>
        <v/>
      </c>
      <c r="I208" s="234" t="str">
        <f>IF(Table1[[#This Row],[Column3]]=0,"",CONCATENATE(UPPER(Table1[[#This Row],[Column3]])," ",Table1[[#This Row],[Column4]]))</f>
        <v xml:space="preserve"> </v>
      </c>
      <c r="J208" s="234" t="str">
        <f>IF(Table1[[#This Row],[Column5]]="","",INDEX(Table2[e],IF(Table1[[#This Row],[Column5]]="","",MATCH(Table1[[#This Row],[Column5]],Table2[a],0)),))</f>
        <v/>
      </c>
      <c r="K208" s="234"/>
      <c r="L208" s="234"/>
      <c r="N208" s="432"/>
      <c r="O208" s="432" t="str">
        <f>IF(Table1[[#This Row],[h_Item Description]]="","",INDEX([1]!db[NB PAJAK],MATCH(Table1[[#This Row],[h_Item Description]],[1]!db[kode],0)))</f>
        <v/>
      </c>
      <c r="Q208" s="237"/>
      <c r="R208" s="238"/>
      <c r="S208" s="238"/>
      <c r="T208" s="435" t="str">
        <f>Table1[[#This Row],[h_hargasetelahdiskon]]</f>
        <v/>
      </c>
      <c r="V208" s="234"/>
      <c r="W208" s="234" t="str">
        <f ca="1">IF(Table1[[#This Row],[Column12]]="","",IF(Table1[[#This Row],[//]]="",INDIRECT(ADDRESS(ROW()-1,COLUMN())),Table1[[#This Row],[//]]))</f>
        <v/>
      </c>
      <c r="X208" s="234" t="str">
        <f ca="1">IF(Table1[[#This Row],[h_id]]="","",COUNTIF(Table1[h_id],Table1[[#This Row],[h_id]]))</f>
        <v/>
      </c>
      <c r="Y208" s="237" t="str">
        <f>IF(Table1[[#This Row],[Column12]]="","",Table1[[#This Row],[Qty]]*Table1[[#This Row],[Column13]])</f>
        <v/>
      </c>
      <c r="Z208" s="435" t="str">
        <f>IF(Table1[[#This Row],[h_hargasebelumdiskon]]="","",IF(Table1[[#This Row],[Column14]]="",0,Table1[[#This Row],[h_hargasebelumdiskon]]*Table1[[#This Row],[Column14]]))</f>
        <v/>
      </c>
      <c r="AA208" s="435" t="str">
        <f>IF(Table1[[#This Row],[h_hargasebelumdiskon]]="","",IF(Table1[[#This Row],[Column15]]="",0,(Table1[[#This Row],[h_hargasebelumdiskon]]-Table1[[#This Row],[h_disc 1]])*Table1[[#This Row],[Column15]]))</f>
        <v/>
      </c>
      <c r="AB208" s="237" t="str">
        <f>IF(Table1[[#This Row],[Column12]]="","",Table1[[#This Row],[h_disc 1]]+Table1[[#This Row],[h_disc 2]])</f>
        <v/>
      </c>
      <c r="AC208" s="237" t="str">
        <f>IF(Table1[[#This Row],[Column12]]="","",Table1[[#This Row],[h_hargasebelumdiskon]]-Table1[[#This Row],[h_diskon]])</f>
        <v/>
      </c>
      <c r="AD208" s="237" t="str">
        <f ca="1">IF(Table1[[#This Row],[//]]="","",SUMIF(Table1[h_id],Table1[[#This Row],[h_id]],Table1[h_hargasetelahdiskon]))</f>
        <v/>
      </c>
      <c r="AF208" s="237" t="str">
        <f>Table1[[#This Row],[Column12]]&amp;Table1[[#This Row],[Unit]]&amp;Table1[[#This Row],[Column13]]</f>
        <v/>
      </c>
      <c r="AG208"/>
      <c r="AH208"/>
      <c r="AI208"/>
    </row>
    <row r="209" spans="1:35">
      <c r="A209" s="234" t="str">
        <f ca="1">IF(Table1[[#This Row],[No. Invoice :]]="","",ROW())</f>
        <v/>
      </c>
      <c r="B209" s="432" t="str">
        <f ca="1">IF(Table1[[#This Row],[Column3]]="","",B$1+COUNT(INDIRECT("B$2:B"&amp;ROW()-1)))</f>
        <v/>
      </c>
      <c r="C209" s="235" t="str">
        <f>IF(Table1[[#This Row],[Column2]]="","",Table1[[#This Row],[Column2]]+C$1-1)</f>
        <v/>
      </c>
      <c r="D209" s="433"/>
      <c r="E209" s="434"/>
      <c r="F209" s="432"/>
      <c r="G209" s="234" t="str">
        <f ca="1">IF(Table1[[#This Row],[h_No. Invoice :]]="","",CONCATENATE("AM"," ",Table1[[#This Row],[h_No. Invoice :]]))</f>
        <v/>
      </c>
      <c r="H209" s="432" t="str">
        <f>IF(Table1[[#This Row],[Column5]]="","",INDEX(Table2[Column1],MATCH(Table1[[#This Row],[Column5]],Table2[a],0)))</f>
        <v/>
      </c>
      <c r="I209" s="234" t="str">
        <f>IF(Table1[[#This Row],[Column3]]=0,"",CONCATENATE(UPPER(Table1[[#This Row],[Column3]])," ",Table1[[#This Row],[Column4]]))</f>
        <v xml:space="preserve"> </v>
      </c>
      <c r="J209" s="234" t="str">
        <f>IF(Table1[[#This Row],[Column5]]="","",INDEX(Table2[e],IF(Table1[[#This Row],[Column5]]="","",MATCH(Table1[[#This Row],[Column5]],Table2[a],0)),))</f>
        <v/>
      </c>
      <c r="K209" s="234"/>
      <c r="L209" s="234"/>
      <c r="N209" s="432"/>
      <c r="O209" s="432" t="str">
        <f>IF(Table1[[#This Row],[h_Item Description]]="","",INDEX([1]!db[NB PAJAK],MATCH(Table1[[#This Row],[h_Item Description]],[1]!db[kode],0)))</f>
        <v/>
      </c>
      <c r="Q209" s="237"/>
      <c r="R209" s="238"/>
      <c r="S209" s="238"/>
      <c r="T209" s="435" t="str">
        <f>Table1[[#This Row],[h_hargasetelahdiskon]]</f>
        <v/>
      </c>
      <c r="V209" s="234"/>
      <c r="W209" s="234" t="str">
        <f ca="1">IF(Table1[[#This Row],[Column12]]="","",IF(Table1[[#This Row],[//]]="",INDIRECT(ADDRESS(ROW()-1,COLUMN())),Table1[[#This Row],[//]]))</f>
        <v/>
      </c>
      <c r="X209" s="234" t="str">
        <f ca="1">IF(Table1[[#This Row],[h_id]]="","",COUNTIF(Table1[h_id],Table1[[#This Row],[h_id]]))</f>
        <v/>
      </c>
      <c r="Y209" s="237" t="str">
        <f>IF(Table1[[#This Row],[Column12]]="","",Table1[[#This Row],[Qty]]*Table1[[#This Row],[Column13]])</f>
        <v/>
      </c>
      <c r="Z209" s="435" t="str">
        <f>IF(Table1[[#This Row],[h_hargasebelumdiskon]]="","",IF(Table1[[#This Row],[Column14]]="",0,Table1[[#This Row],[h_hargasebelumdiskon]]*Table1[[#This Row],[Column14]]))</f>
        <v/>
      </c>
      <c r="AA209" s="435" t="str">
        <f>IF(Table1[[#This Row],[h_hargasebelumdiskon]]="","",IF(Table1[[#This Row],[Column15]]="",0,(Table1[[#This Row],[h_hargasebelumdiskon]]-Table1[[#This Row],[h_disc 1]])*Table1[[#This Row],[Column15]]))</f>
        <v/>
      </c>
      <c r="AB209" s="237" t="str">
        <f>IF(Table1[[#This Row],[Column12]]="","",Table1[[#This Row],[h_disc 1]]+Table1[[#This Row],[h_disc 2]])</f>
        <v/>
      </c>
      <c r="AC209" s="237" t="str">
        <f>IF(Table1[[#This Row],[Column12]]="","",Table1[[#This Row],[h_hargasebelumdiskon]]-Table1[[#This Row],[h_diskon]])</f>
        <v/>
      </c>
      <c r="AD209" s="237" t="str">
        <f ca="1">IF(Table1[[#This Row],[//]]="","",SUMIF(Table1[h_id],Table1[[#This Row],[h_id]],Table1[h_hargasetelahdiskon]))</f>
        <v/>
      </c>
      <c r="AF209" s="237" t="str">
        <f>Table1[[#This Row],[Column12]]&amp;Table1[[#This Row],[Unit]]&amp;Table1[[#This Row],[Column13]]</f>
        <v/>
      </c>
      <c r="AG209"/>
      <c r="AH209"/>
      <c r="AI209"/>
    </row>
    <row r="210" spans="1:35">
      <c r="A210" s="234" t="str">
        <f ca="1">IF(Table1[[#This Row],[No. Invoice :]]="","",ROW())</f>
        <v/>
      </c>
      <c r="B210" s="432" t="str">
        <f ca="1">IF(Table1[[#This Row],[Column3]]="","",B$1+COUNT(INDIRECT("B$2:B"&amp;ROW()-1)))</f>
        <v/>
      </c>
      <c r="C210" s="235" t="str">
        <f>IF(Table1[[#This Row],[Column2]]="","",Table1[[#This Row],[Column2]]+C$1-1)</f>
        <v/>
      </c>
      <c r="D210" s="433"/>
      <c r="E210" s="434"/>
      <c r="F210" s="432"/>
      <c r="G210" s="234" t="str">
        <f ca="1">IF(Table1[[#This Row],[h_No. Invoice :]]="","",CONCATENATE("AM"," ",Table1[[#This Row],[h_No. Invoice :]]))</f>
        <v/>
      </c>
      <c r="H210" s="432" t="str">
        <f>IF(Table1[[#This Row],[Column5]]="","",INDEX(Table2[Column1],MATCH(Table1[[#This Row],[Column5]],Table2[a],0)))</f>
        <v/>
      </c>
      <c r="I210" s="234" t="str">
        <f>IF(Table1[[#This Row],[Column3]]=0,"",CONCATENATE(UPPER(Table1[[#This Row],[Column3]])," ",Table1[[#This Row],[Column4]]))</f>
        <v xml:space="preserve"> </v>
      </c>
      <c r="J210" s="234" t="str">
        <f>IF(Table1[[#This Row],[Column5]]="","",INDEX(Table2[e],IF(Table1[[#This Row],[Column5]]="","",MATCH(Table1[[#This Row],[Column5]],Table2[a],0)),))</f>
        <v/>
      </c>
      <c r="K210" s="234"/>
      <c r="L210" s="234"/>
      <c r="N210" s="432"/>
      <c r="O210" s="432" t="str">
        <f>IF(Table1[[#This Row],[h_Item Description]]="","",INDEX([1]!db[NB PAJAK],MATCH(Table1[[#This Row],[h_Item Description]],[1]!db[kode],0)))</f>
        <v/>
      </c>
      <c r="Q210" s="237"/>
      <c r="R210" s="238"/>
      <c r="S210" s="238"/>
      <c r="T210" s="435" t="str">
        <f>Table1[[#This Row],[h_hargasetelahdiskon]]</f>
        <v/>
      </c>
      <c r="V210" s="234"/>
      <c r="W210" s="234" t="str">
        <f ca="1">IF(Table1[[#This Row],[Column12]]="","",IF(Table1[[#This Row],[//]]="",INDIRECT(ADDRESS(ROW()-1,COLUMN())),Table1[[#This Row],[//]]))</f>
        <v/>
      </c>
      <c r="X210" s="234" t="str">
        <f ca="1">IF(Table1[[#This Row],[h_id]]="","",COUNTIF(Table1[h_id],Table1[[#This Row],[h_id]]))</f>
        <v/>
      </c>
      <c r="Y210" s="237" t="str">
        <f>IF(Table1[[#This Row],[Column12]]="","",Table1[[#This Row],[Qty]]*Table1[[#This Row],[Column13]])</f>
        <v/>
      </c>
      <c r="Z210" s="435" t="str">
        <f>IF(Table1[[#This Row],[h_hargasebelumdiskon]]="","",IF(Table1[[#This Row],[Column14]]="",0,Table1[[#This Row],[h_hargasebelumdiskon]]*Table1[[#This Row],[Column14]]))</f>
        <v/>
      </c>
      <c r="AA210" s="435" t="str">
        <f>IF(Table1[[#This Row],[h_hargasebelumdiskon]]="","",IF(Table1[[#This Row],[Column15]]="",0,(Table1[[#This Row],[h_hargasebelumdiskon]]-Table1[[#This Row],[h_disc 1]])*Table1[[#This Row],[Column15]]))</f>
        <v/>
      </c>
      <c r="AB210" s="237" t="str">
        <f>IF(Table1[[#This Row],[Column12]]="","",Table1[[#This Row],[h_disc 1]]+Table1[[#This Row],[h_disc 2]])</f>
        <v/>
      </c>
      <c r="AC210" s="237" t="str">
        <f>IF(Table1[[#This Row],[Column12]]="","",Table1[[#This Row],[h_hargasebelumdiskon]]-Table1[[#This Row],[h_diskon]])</f>
        <v/>
      </c>
      <c r="AD210" s="237" t="str">
        <f ca="1">IF(Table1[[#This Row],[//]]="","",SUMIF(Table1[h_id],Table1[[#This Row],[h_id]],Table1[h_hargasetelahdiskon]))</f>
        <v/>
      </c>
      <c r="AF210" s="237" t="str">
        <f>Table1[[#This Row],[Column12]]&amp;Table1[[#This Row],[Unit]]&amp;Table1[[#This Row],[Column13]]</f>
        <v/>
      </c>
      <c r="AG210"/>
      <c r="AH210"/>
      <c r="AI210"/>
    </row>
    <row r="211" spans="1:35">
      <c r="A211" s="234" t="str">
        <f ca="1">IF(Table1[[#This Row],[No. Invoice :]]="","",ROW())</f>
        <v/>
      </c>
      <c r="B211" s="432" t="str">
        <f ca="1">IF(Table1[[#This Row],[Column3]]="","",B$1+COUNT(INDIRECT("B$2:B"&amp;ROW()-1)))</f>
        <v/>
      </c>
      <c r="C211" s="235" t="str">
        <f>IF(Table1[[#This Row],[Column2]]="","",Table1[[#This Row],[Column2]]+C$1-1)</f>
        <v/>
      </c>
      <c r="D211" s="433"/>
      <c r="E211" s="434"/>
      <c r="F211" s="432"/>
      <c r="G211" s="234" t="str">
        <f ca="1">IF(Table1[[#This Row],[h_No. Invoice :]]="","",CONCATENATE("AM"," ",Table1[[#This Row],[h_No. Invoice :]]))</f>
        <v/>
      </c>
      <c r="H211" s="432" t="str">
        <f>IF(Table1[[#This Row],[Column5]]="","",INDEX(Table2[Column1],MATCH(Table1[[#This Row],[Column5]],Table2[a],0)))</f>
        <v/>
      </c>
      <c r="I211" s="234" t="str">
        <f>IF(Table1[[#This Row],[Column3]]=0,"",CONCATENATE(UPPER(Table1[[#This Row],[Column3]])," ",Table1[[#This Row],[Column4]]))</f>
        <v xml:space="preserve"> </v>
      </c>
      <c r="J211" s="234" t="str">
        <f>IF(Table1[[#This Row],[Column5]]="","",INDEX(Table2[e],IF(Table1[[#This Row],[Column5]]="","",MATCH(Table1[[#This Row],[Column5]],Table2[a],0)),))</f>
        <v/>
      </c>
      <c r="K211" s="234"/>
      <c r="L211" s="234"/>
      <c r="N211" s="432"/>
      <c r="O211" s="432" t="str">
        <f>IF(Table1[[#This Row],[h_Item Description]]="","",INDEX([1]!db[NB PAJAK],MATCH(Table1[[#This Row],[h_Item Description]],[1]!db[kode],0)))</f>
        <v/>
      </c>
      <c r="Q211" s="237"/>
      <c r="R211" s="238"/>
      <c r="S211" s="238"/>
      <c r="T211" s="435" t="str">
        <f>Table1[[#This Row],[h_hargasetelahdiskon]]</f>
        <v/>
      </c>
      <c r="V211" s="234"/>
      <c r="W211" s="234" t="str">
        <f ca="1">IF(Table1[[#This Row],[Column12]]="","",IF(Table1[[#This Row],[//]]="",INDIRECT(ADDRESS(ROW()-1,COLUMN())),Table1[[#This Row],[//]]))</f>
        <v/>
      </c>
      <c r="X211" s="234" t="str">
        <f ca="1">IF(Table1[[#This Row],[h_id]]="","",COUNTIF(Table1[h_id],Table1[[#This Row],[h_id]]))</f>
        <v/>
      </c>
      <c r="Y211" s="237" t="str">
        <f>IF(Table1[[#This Row],[Column12]]="","",Table1[[#This Row],[Qty]]*Table1[[#This Row],[Column13]])</f>
        <v/>
      </c>
      <c r="Z211" s="435" t="str">
        <f>IF(Table1[[#This Row],[h_hargasebelumdiskon]]="","",IF(Table1[[#This Row],[Column14]]="",0,Table1[[#This Row],[h_hargasebelumdiskon]]*Table1[[#This Row],[Column14]]))</f>
        <v/>
      </c>
      <c r="AA211" s="435" t="str">
        <f>IF(Table1[[#This Row],[h_hargasebelumdiskon]]="","",IF(Table1[[#This Row],[Column15]]="",0,(Table1[[#This Row],[h_hargasebelumdiskon]]-Table1[[#This Row],[h_disc 1]])*Table1[[#This Row],[Column15]]))</f>
        <v/>
      </c>
      <c r="AB211" s="237" t="str">
        <f>IF(Table1[[#This Row],[Column12]]="","",Table1[[#This Row],[h_disc 1]]+Table1[[#This Row],[h_disc 2]])</f>
        <v/>
      </c>
      <c r="AC211" s="237" t="str">
        <f>IF(Table1[[#This Row],[Column12]]="","",Table1[[#This Row],[h_hargasebelumdiskon]]-Table1[[#This Row],[h_diskon]])</f>
        <v/>
      </c>
      <c r="AD211" s="237" t="str">
        <f ca="1">IF(Table1[[#This Row],[//]]="","",SUMIF(Table1[h_id],Table1[[#This Row],[h_id]],Table1[h_hargasetelahdiskon]))</f>
        <v/>
      </c>
      <c r="AF211" s="237" t="str">
        <f>Table1[[#This Row],[Column12]]&amp;Table1[[#This Row],[Unit]]&amp;Table1[[#This Row],[Column13]]</f>
        <v/>
      </c>
      <c r="AG211"/>
      <c r="AH211"/>
      <c r="AI211"/>
    </row>
    <row r="212" spans="1:35">
      <c r="A212" s="234" t="str">
        <f ca="1">IF(Table1[[#This Row],[No. Invoice :]]="","",ROW())</f>
        <v/>
      </c>
      <c r="B212" s="432" t="str">
        <f ca="1">IF(Table1[[#This Row],[Column3]]="","",B$1+COUNT(INDIRECT("B$2:B"&amp;ROW()-1)))</f>
        <v/>
      </c>
      <c r="C212" s="235" t="str">
        <f>IF(Table1[[#This Row],[Column2]]="","",Table1[[#This Row],[Column2]]+C$1-1)</f>
        <v/>
      </c>
      <c r="D212" s="433"/>
      <c r="E212" s="434"/>
      <c r="F212" s="432"/>
      <c r="G212" s="234" t="str">
        <f ca="1">IF(Table1[[#This Row],[h_No. Invoice :]]="","",CONCATENATE("AM"," ",Table1[[#This Row],[h_No. Invoice :]]))</f>
        <v/>
      </c>
      <c r="H212" s="432" t="str">
        <f>IF(Table1[[#This Row],[Column5]]="","",INDEX(Table2[Column1],MATCH(Table1[[#This Row],[Column5]],Table2[a],0)))</f>
        <v/>
      </c>
      <c r="I212" s="234" t="str">
        <f>IF(Table1[[#This Row],[Column3]]=0,"",CONCATENATE(UPPER(Table1[[#This Row],[Column3]])," ",Table1[[#This Row],[Column4]]))</f>
        <v xml:space="preserve"> </v>
      </c>
      <c r="J212" s="234" t="str">
        <f>IF(Table1[[#This Row],[Column5]]="","",INDEX(Table2[e],IF(Table1[[#This Row],[Column5]]="","",MATCH(Table1[[#This Row],[Column5]],Table2[a],0)),))</f>
        <v/>
      </c>
      <c r="K212" s="234"/>
      <c r="L212" s="234"/>
      <c r="N212" s="432"/>
      <c r="O212" s="432" t="str">
        <f>IF(Table1[[#This Row],[h_Item Description]]="","",INDEX([1]!db[NB PAJAK],MATCH(Table1[[#This Row],[h_Item Description]],[1]!db[kode],0)))</f>
        <v/>
      </c>
      <c r="Q212" s="237"/>
      <c r="R212" s="238"/>
      <c r="S212" s="238"/>
      <c r="T212" s="435" t="str">
        <f>Table1[[#This Row],[h_hargasetelahdiskon]]</f>
        <v/>
      </c>
      <c r="V212" s="234"/>
      <c r="W212" s="234" t="str">
        <f ca="1">IF(Table1[[#This Row],[Column12]]="","",IF(Table1[[#This Row],[//]]="",INDIRECT(ADDRESS(ROW()-1,COLUMN())),Table1[[#This Row],[//]]))</f>
        <v/>
      </c>
      <c r="X212" s="234" t="str">
        <f ca="1">IF(Table1[[#This Row],[h_id]]="","",COUNTIF(Table1[h_id],Table1[[#This Row],[h_id]]))</f>
        <v/>
      </c>
      <c r="Y212" s="237" t="str">
        <f>IF(Table1[[#This Row],[Column12]]="","",Table1[[#This Row],[Qty]]*Table1[[#This Row],[Column13]])</f>
        <v/>
      </c>
      <c r="Z212" s="435" t="str">
        <f>IF(Table1[[#This Row],[h_hargasebelumdiskon]]="","",IF(Table1[[#This Row],[Column14]]="",0,Table1[[#This Row],[h_hargasebelumdiskon]]*Table1[[#This Row],[Column14]]))</f>
        <v/>
      </c>
      <c r="AA212" s="435" t="str">
        <f>IF(Table1[[#This Row],[h_hargasebelumdiskon]]="","",IF(Table1[[#This Row],[Column15]]="",0,(Table1[[#This Row],[h_hargasebelumdiskon]]-Table1[[#This Row],[h_disc 1]])*Table1[[#This Row],[Column15]]))</f>
        <v/>
      </c>
      <c r="AB212" s="237" t="str">
        <f>IF(Table1[[#This Row],[Column12]]="","",Table1[[#This Row],[h_disc 1]]+Table1[[#This Row],[h_disc 2]])</f>
        <v/>
      </c>
      <c r="AC212" s="237" t="str">
        <f>IF(Table1[[#This Row],[Column12]]="","",Table1[[#This Row],[h_hargasebelumdiskon]]-Table1[[#This Row],[h_diskon]])</f>
        <v/>
      </c>
      <c r="AD212" s="237" t="str">
        <f ca="1">IF(Table1[[#This Row],[//]]="","",SUMIF(Table1[h_id],Table1[[#This Row],[h_id]],Table1[h_hargasetelahdiskon]))</f>
        <v/>
      </c>
      <c r="AF212" s="237" t="str">
        <f>Table1[[#This Row],[Column12]]&amp;Table1[[#This Row],[Unit]]&amp;Table1[[#This Row],[Column13]]</f>
        <v/>
      </c>
      <c r="AG212"/>
      <c r="AH212"/>
      <c r="AI212"/>
    </row>
    <row r="213" spans="1:35">
      <c r="A213" s="234" t="str">
        <f ca="1">IF(Table1[[#This Row],[No. Invoice :]]="","",ROW())</f>
        <v/>
      </c>
      <c r="B213" s="432" t="str">
        <f ca="1">IF(Table1[[#This Row],[Column3]]="","",B$1+COUNT(INDIRECT("B$2:B"&amp;ROW()-1)))</f>
        <v/>
      </c>
      <c r="C213" s="235" t="str">
        <f>IF(Table1[[#This Row],[Column2]]="","",Table1[[#This Row],[Column2]]+C$1-1)</f>
        <v/>
      </c>
      <c r="D213" s="433"/>
      <c r="E213" s="434"/>
      <c r="F213" s="432"/>
      <c r="G213" s="234" t="str">
        <f ca="1">IF(Table1[[#This Row],[h_No. Invoice :]]="","",CONCATENATE("AM"," ",Table1[[#This Row],[h_No. Invoice :]]))</f>
        <v/>
      </c>
      <c r="H213" s="432" t="str">
        <f>IF(Table1[[#This Row],[Column5]]="","",INDEX(Table2[Column1],MATCH(Table1[[#This Row],[Column5]],Table2[a],0)))</f>
        <v/>
      </c>
      <c r="I213" s="234" t="str">
        <f>IF(Table1[[#This Row],[Column3]]=0,"",CONCATENATE(UPPER(Table1[[#This Row],[Column3]])," ",Table1[[#This Row],[Column4]]))</f>
        <v xml:space="preserve"> </v>
      </c>
      <c r="J213" s="234" t="str">
        <f>IF(Table1[[#This Row],[Column5]]="","",INDEX(Table2[e],IF(Table1[[#This Row],[Column5]]="","",MATCH(Table1[[#This Row],[Column5]],Table2[a],0)),))</f>
        <v/>
      </c>
      <c r="K213" s="234"/>
      <c r="L213" s="234"/>
      <c r="N213" s="432"/>
      <c r="O213" s="432" t="str">
        <f>IF(Table1[[#This Row],[h_Item Description]]="","",INDEX([1]!db[NB PAJAK],MATCH(Table1[[#This Row],[h_Item Description]],[1]!db[kode],0)))</f>
        <v/>
      </c>
      <c r="Q213" s="237"/>
      <c r="R213" s="238"/>
      <c r="S213" s="238"/>
      <c r="T213" s="435" t="str">
        <f>Table1[[#This Row],[h_hargasetelahdiskon]]</f>
        <v/>
      </c>
      <c r="V213" s="234"/>
      <c r="W213" s="234" t="str">
        <f ca="1">IF(Table1[[#This Row],[Column12]]="","",IF(Table1[[#This Row],[//]]="",INDIRECT(ADDRESS(ROW()-1,COLUMN())),Table1[[#This Row],[//]]))</f>
        <v/>
      </c>
      <c r="X213" s="234" t="str">
        <f ca="1">IF(Table1[[#This Row],[h_id]]="","",COUNTIF(Table1[h_id],Table1[[#This Row],[h_id]]))</f>
        <v/>
      </c>
      <c r="Y213" s="237" t="str">
        <f>IF(Table1[[#This Row],[Column12]]="","",Table1[[#This Row],[Qty]]*Table1[[#This Row],[Column13]])</f>
        <v/>
      </c>
      <c r="Z213" s="435" t="str">
        <f>IF(Table1[[#This Row],[h_hargasebelumdiskon]]="","",IF(Table1[[#This Row],[Column14]]="",0,Table1[[#This Row],[h_hargasebelumdiskon]]*Table1[[#This Row],[Column14]]))</f>
        <v/>
      </c>
      <c r="AA213" s="435" t="str">
        <f>IF(Table1[[#This Row],[h_hargasebelumdiskon]]="","",IF(Table1[[#This Row],[Column15]]="",0,(Table1[[#This Row],[h_hargasebelumdiskon]]-Table1[[#This Row],[h_disc 1]])*Table1[[#This Row],[Column15]]))</f>
        <v/>
      </c>
      <c r="AB213" s="237" t="str">
        <f>IF(Table1[[#This Row],[Column12]]="","",Table1[[#This Row],[h_disc 1]]+Table1[[#This Row],[h_disc 2]])</f>
        <v/>
      </c>
      <c r="AC213" s="237" t="str">
        <f>IF(Table1[[#This Row],[Column12]]="","",Table1[[#This Row],[h_hargasebelumdiskon]]-Table1[[#This Row],[h_diskon]])</f>
        <v/>
      </c>
      <c r="AD213" s="237" t="str">
        <f ca="1">IF(Table1[[#This Row],[//]]="","",SUMIF(Table1[h_id],Table1[[#This Row],[h_id]],Table1[h_hargasetelahdiskon]))</f>
        <v/>
      </c>
      <c r="AF213" s="237" t="str">
        <f>Table1[[#This Row],[Column12]]&amp;Table1[[#This Row],[Unit]]&amp;Table1[[#This Row],[Column13]]</f>
        <v/>
      </c>
      <c r="AG213"/>
      <c r="AH213"/>
      <c r="AI213"/>
    </row>
    <row r="214" spans="1:35">
      <c r="A214" s="234" t="str">
        <f ca="1">IF(Table1[[#This Row],[No. Invoice :]]="","",ROW())</f>
        <v/>
      </c>
      <c r="B214" s="432" t="str">
        <f ca="1">IF(Table1[[#This Row],[Column3]]="","",B$1+COUNT(INDIRECT("B$2:B"&amp;ROW()-1)))</f>
        <v/>
      </c>
      <c r="C214" s="235" t="str">
        <f>IF(Table1[[#This Row],[Column2]]="","",Table1[[#This Row],[Column2]]+C$1-1)</f>
        <v/>
      </c>
      <c r="D214" s="433"/>
      <c r="E214" s="434"/>
      <c r="F214" s="432"/>
      <c r="G214" s="234" t="str">
        <f ca="1">IF(Table1[[#This Row],[h_No. Invoice :]]="","",CONCATENATE("AM"," ",Table1[[#This Row],[h_No. Invoice :]]))</f>
        <v/>
      </c>
      <c r="H214" s="432" t="str">
        <f>IF(Table1[[#This Row],[Column5]]="","",INDEX(Table2[Column1],MATCH(Table1[[#This Row],[Column5]],Table2[a],0)))</f>
        <v/>
      </c>
      <c r="I214" s="234" t="str">
        <f>IF(Table1[[#This Row],[Column3]]=0,"",CONCATENATE(UPPER(Table1[[#This Row],[Column3]])," ",Table1[[#This Row],[Column4]]))</f>
        <v xml:space="preserve"> </v>
      </c>
      <c r="J214" s="234" t="str">
        <f>IF(Table1[[#This Row],[Column5]]="","",INDEX(Table2[e],IF(Table1[[#This Row],[Column5]]="","",MATCH(Table1[[#This Row],[Column5]],Table2[a],0)),))</f>
        <v/>
      </c>
      <c r="K214" s="234"/>
      <c r="L214" s="234"/>
      <c r="N214" s="432"/>
      <c r="O214" s="432" t="str">
        <f>IF(Table1[[#This Row],[h_Item Description]]="","",INDEX([1]!db[NB PAJAK],MATCH(Table1[[#This Row],[h_Item Description]],[1]!db[kode],0)))</f>
        <v/>
      </c>
      <c r="Q214" s="237"/>
      <c r="R214" s="238"/>
      <c r="S214" s="238"/>
      <c r="T214" s="435" t="str">
        <f>Table1[[#This Row],[h_hargasetelahdiskon]]</f>
        <v/>
      </c>
      <c r="V214" s="234"/>
      <c r="W214" s="234" t="str">
        <f ca="1">IF(Table1[[#This Row],[Column12]]="","",IF(Table1[[#This Row],[//]]="",INDIRECT(ADDRESS(ROW()-1,COLUMN())),Table1[[#This Row],[//]]))</f>
        <v/>
      </c>
      <c r="X214" s="234" t="str">
        <f ca="1">IF(Table1[[#This Row],[h_id]]="","",COUNTIF(Table1[h_id],Table1[[#This Row],[h_id]]))</f>
        <v/>
      </c>
      <c r="Y214" s="237" t="str">
        <f>IF(Table1[[#This Row],[Column12]]="","",Table1[[#This Row],[Qty]]*Table1[[#This Row],[Column13]])</f>
        <v/>
      </c>
      <c r="Z214" s="435" t="str">
        <f>IF(Table1[[#This Row],[h_hargasebelumdiskon]]="","",IF(Table1[[#This Row],[Column14]]="",0,Table1[[#This Row],[h_hargasebelumdiskon]]*Table1[[#This Row],[Column14]]))</f>
        <v/>
      </c>
      <c r="AA214" s="435" t="str">
        <f>IF(Table1[[#This Row],[h_hargasebelumdiskon]]="","",IF(Table1[[#This Row],[Column15]]="",0,(Table1[[#This Row],[h_hargasebelumdiskon]]-Table1[[#This Row],[h_disc 1]])*Table1[[#This Row],[Column15]]))</f>
        <v/>
      </c>
      <c r="AB214" s="237" t="str">
        <f>IF(Table1[[#This Row],[Column12]]="","",Table1[[#This Row],[h_disc 1]]+Table1[[#This Row],[h_disc 2]])</f>
        <v/>
      </c>
      <c r="AC214" s="237" t="str">
        <f>IF(Table1[[#This Row],[Column12]]="","",Table1[[#This Row],[h_hargasebelumdiskon]]-Table1[[#This Row],[h_diskon]])</f>
        <v/>
      </c>
      <c r="AD214" s="237" t="str">
        <f ca="1">IF(Table1[[#This Row],[//]]="","",SUMIF(Table1[h_id],Table1[[#This Row],[h_id]],Table1[h_hargasetelahdiskon]))</f>
        <v/>
      </c>
      <c r="AF214" s="237" t="str">
        <f>Table1[[#This Row],[Column12]]&amp;Table1[[#This Row],[Unit]]&amp;Table1[[#This Row],[Column13]]</f>
        <v/>
      </c>
      <c r="AG214"/>
      <c r="AH214"/>
      <c r="AI214"/>
    </row>
    <row r="215" spans="1:35">
      <c r="A215" s="234" t="str">
        <f ca="1">IF(Table1[[#This Row],[No. Invoice :]]="","",ROW())</f>
        <v/>
      </c>
      <c r="B215" s="432" t="str">
        <f ca="1">IF(Table1[[#This Row],[Column3]]="","",B$1+COUNT(INDIRECT("B$2:B"&amp;ROW()-1)))</f>
        <v/>
      </c>
      <c r="C215" s="235" t="str">
        <f>IF(Table1[[#This Row],[Column2]]="","",Table1[[#This Row],[Column2]]+C$1-1)</f>
        <v/>
      </c>
      <c r="D215" s="433"/>
      <c r="E215" s="434"/>
      <c r="F215" s="432"/>
      <c r="G215" s="234" t="str">
        <f ca="1">IF(Table1[[#This Row],[h_No. Invoice :]]="","",CONCATENATE("AM"," ",Table1[[#This Row],[h_No. Invoice :]]))</f>
        <v/>
      </c>
      <c r="H215" s="432" t="str">
        <f>IF(Table1[[#This Row],[Column5]]="","",INDEX(Table2[Column1],MATCH(Table1[[#This Row],[Column5]],Table2[a],0)))</f>
        <v/>
      </c>
      <c r="I215" s="234" t="str">
        <f>IF(Table1[[#This Row],[Column3]]=0,"",CONCATENATE(UPPER(Table1[[#This Row],[Column3]])," ",Table1[[#This Row],[Column4]]))</f>
        <v xml:space="preserve"> </v>
      </c>
      <c r="J215" s="234" t="str">
        <f>IF(Table1[[#This Row],[Column5]]="","",INDEX(Table2[e],IF(Table1[[#This Row],[Column5]]="","",MATCH(Table1[[#This Row],[Column5]],Table2[a],0)),))</f>
        <v/>
      </c>
      <c r="K215" s="234"/>
      <c r="L215" s="234"/>
      <c r="N215" s="432"/>
      <c r="O215" s="432" t="str">
        <f>IF(Table1[[#This Row],[h_Item Description]]="","",INDEX([1]!db[NB PAJAK],MATCH(Table1[[#This Row],[h_Item Description]],[1]!db[kode],0)))</f>
        <v/>
      </c>
      <c r="Q215" s="237"/>
      <c r="R215" s="238"/>
      <c r="S215" s="238"/>
      <c r="T215" s="435" t="str">
        <f>Table1[[#This Row],[h_hargasetelahdiskon]]</f>
        <v/>
      </c>
      <c r="V215" s="234"/>
      <c r="W215" s="234" t="str">
        <f ca="1">IF(Table1[[#This Row],[Column12]]="","",IF(Table1[[#This Row],[//]]="",INDIRECT(ADDRESS(ROW()-1,COLUMN())),Table1[[#This Row],[//]]))</f>
        <v/>
      </c>
      <c r="X215" s="234" t="str">
        <f ca="1">IF(Table1[[#This Row],[h_id]]="","",COUNTIF(Table1[h_id],Table1[[#This Row],[h_id]]))</f>
        <v/>
      </c>
      <c r="Y215" s="237" t="str">
        <f>IF(Table1[[#This Row],[Column12]]="","",Table1[[#This Row],[Qty]]*Table1[[#This Row],[Column13]])</f>
        <v/>
      </c>
      <c r="Z215" s="435" t="str">
        <f>IF(Table1[[#This Row],[h_hargasebelumdiskon]]="","",IF(Table1[[#This Row],[Column14]]="",0,Table1[[#This Row],[h_hargasebelumdiskon]]*Table1[[#This Row],[Column14]]))</f>
        <v/>
      </c>
      <c r="AA215" s="435" t="str">
        <f>IF(Table1[[#This Row],[h_hargasebelumdiskon]]="","",IF(Table1[[#This Row],[Column15]]="",0,(Table1[[#This Row],[h_hargasebelumdiskon]]-Table1[[#This Row],[h_disc 1]])*Table1[[#This Row],[Column15]]))</f>
        <v/>
      </c>
      <c r="AB215" s="237" t="str">
        <f>IF(Table1[[#This Row],[Column12]]="","",Table1[[#This Row],[h_disc 1]]+Table1[[#This Row],[h_disc 2]])</f>
        <v/>
      </c>
      <c r="AC215" s="237" t="str">
        <f>IF(Table1[[#This Row],[Column12]]="","",Table1[[#This Row],[h_hargasebelumdiskon]]-Table1[[#This Row],[h_diskon]])</f>
        <v/>
      </c>
      <c r="AD215" s="237" t="str">
        <f ca="1">IF(Table1[[#This Row],[//]]="","",SUMIF(Table1[h_id],Table1[[#This Row],[h_id]],Table1[h_hargasetelahdiskon]))</f>
        <v/>
      </c>
      <c r="AF215" s="237" t="str">
        <f>Table1[[#This Row],[Column12]]&amp;Table1[[#This Row],[Unit]]&amp;Table1[[#This Row],[Column13]]</f>
        <v/>
      </c>
      <c r="AG215"/>
      <c r="AH215"/>
      <c r="AI215"/>
    </row>
    <row r="216" spans="1:35">
      <c r="A216" s="234" t="str">
        <f ca="1">IF(Table1[[#This Row],[No. Invoice :]]="","",ROW())</f>
        <v/>
      </c>
      <c r="B216" s="432" t="str">
        <f ca="1">IF(Table1[[#This Row],[Column3]]="","",B$1+COUNT(INDIRECT("B$2:B"&amp;ROW()-1)))</f>
        <v/>
      </c>
      <c r="C216" s="235" t="str">
        <f>IF(Table1[[#This Row],[Column2]]="","",Table1[[#This Row],[Column2]]+C$1-1)</f>
        <v/>
      </c>
      <c r="D216" s="433"/>
      <c r="E216" s="434"/>
      <c r="F216" s="432"/>
      <c r="G216" s="234" t="str">
        <f ca="1">IF(Table1[[#This Row],[h_No. Invoice :]]="","",CONCATENATE("AM"," ",Table1[[#This Row],[h_No. Invoice :]]))</f>
        <v/>
      </c>
      <c r="H216" s="432" t="str">
        <f>IF(Table1[[#This Row],[Column5]]="","",INDEX(Table2[Column1],MATCH(Table1[[#This Row],[Column5]],Table2[a],0)))</f>
        <v/>
      </c>
      <c r="I216" s="234" t="str">
        <f>IF(Table1[[#This Row],[Column3]]=0,"",CONCATENATE(UPPER(Table1[[#This Row],[Column3]])," ",Table1[[#This Row],[Column4]]))</f>
        <v xml:space="preserve"> </v>
      </c>
      <c r="J216" s="234" t="str">
        <f>IF(Table1[[#This Row],[Column5]]="","",INDEX(Table2[e],IF(Table1[[#This Row],[Column5]]="","",MATCH(Table1[[#This Row],[Column5]],Table2[a],0)),))</f>
        <v/>
      </c>
      <c r="K216" s="234"/>
      <c r="L216" s="234"/>
      <c r="N216" s="432"/>
      <c r="O216" s="432" t="str">
        <f>IF(Table1[[#This Row],[h_Item Description]]="","",INDEX([1]!db[NB PAJAK],MATCH(Table1[[#This Row],[h_Item Description]],[1]!db[kode],0)))</f>
        <v/>
      </c>
      <c r="Q216" s="237"/>
      <c r="R216" s="238"/>
      <c r="S216" s="238"/>
      <c r="T216" s="435" t="str">
        <f>Table1[[#This Row],[h_hargasetelahdiskon]]</f>
        <v/>
      </c>
      <c r="V216" s="234"/>
      <c r="W216" s="234" t="str">
        <f ca="1">IF(Table1[[#This Row],[Column12]]="","",IF(Table1[[#This Row],[//]]="",INDIRECT(ADDRESS(ROW()-1,COLUMN())),Table1[[#This Row],[//]]))</f>
        <v/>
      </c>
      <c r="X216" s="234" t="str">
        <f ca="1">IF(Table1[[#This Row],[h_id]]="","",COUNTIF(Table1[h_id],Table1[[#This Row],[h_id]]))</f>
        <v/>
      </c>
      <c r="Y216" s="237" t="str">
        <f>IF(Table1[[#This Row],[Column12]]="","",Table1[[#This Row],[Qty]]*Table1[[#This Row],[Column13]])</f>
        <v/>
      </c>
      <c r="Z216" s="435" t="str">
        <f>IF(Table1[[#This Row],[h_hargasebelumdiskon]]="","",IF(Table1[[#This Row],[Column14]]="",0,Table1[[#This Row],[h_hargasebelumdiskon]]*Table1[[#This Row],[Column14]]))</f>
        <v/>
      </c>
      <c r="AA216" s="435" t="str">
        <f>IF(Table1[[#This Row],[h_hargasebelumdiskon]]="","",IF(Table1[[#This Row],[Column15]]="",0,(Table1[[#This Row],[h_hargasebelumdiskon]]-Table1[[#This Row],[h_disc 1]])*Table1[[#This Row],[Column15]]))</f>
        <v/>
      </c>
      <c r="AB216" s="237" t="str">
        <f>IF(Table1[[#This Row],[Column12]]="","",Table1[[#This Row],[h_disc 1]]+Table1[[#This Row],[h_disc 2]])</f>
        <v/>
      </c>
      <c r="AC216" s="237" t="str">
        <f>IF(Table1[[#This Row],[Column12]]="","",Table1[[#This Row],[h_hargasebelumdiskon]]-Table1[[#This Row],[h_diskon]])</f>
        <v/>
      </c>
      <c r="AD216" s="237" t="str">
        <f ca="1">IF(Table1[[#This Row],[//]]="","",SUMIF(Table1[h_id],Table1[[#This Row],[h_id]],Table1[h_hargasetelahdiskon]))</f>
        <v/>
      </c>
      <c r="AF216" s="237" t="str">
        <f>Table1[[#This Row],[Column12]]&amp;Table1[[#This Row],[Unit]]&amp;Table1[[#This Row],[Column13]]</f>
        <v/>
      </c>
      <c r="AG216"/>
      <c r="AH216"/>
      <c r="AI216"/>
    </row>
    <row r="217" spans="1:35">
      <c r="A217" s="234" t="str">
        <f ca="1">IF(Table1[[#This Row],[No. Invoice :]]="","",ROW())</f>
        <v/>
      </c>
      <c r="B217" s="432" t="str">
        <f ca="1">IF(Table1[[#This Row],[Column3]]="","",B$1+COUNT(INDIRECT("B$2:B"&amp;ROW()-1)))</f>
        <v/>
      </c>
      <c r="C217" s="235" t="str">
        <f>IF(Table1[[#This Row],[Column2]]="","",Table1[[#This Row],[Column2]]+C$1-1)</f>
        <v/>
      </c>
      <c r="D217" s="433"/>
      <c r="E217" s="434"/>
      <c r="F217" s="432"/>
      <c r="G217" s="234" t="str">
        <f ca="1">IF(Table1[[#This Row],[h_No. Invoice :]]="","",CONCATENATE("AM"," ",Table1[[#This Row],[h_No. Invoice :]]))</f>
        <v/>
      </c>
      <c r="H217" s="432" t="str">
        <f>IF(Table1[[#This Row],[Column5]]="","",INDEX(Table2[Column1],MATCH(Table1[[#This Row],[Column5]],Table2[a],0)))</f>
        <v/>
      </c>
      <c r="I217" s="234" t="str">
        <f>IF(Table1[[#This Row],[Column3]]=0,"",CONCATENATE(UPPER(Table1[[#This Row],[Column3]])," ",Table1[[#This Row],[Column4]]))</f>
        <v xml:space="preserve"> </v>
      </c>
      <c r="J217" s="234" t="str">
        <f>IF(Table1[[#This Row],[Column5]]="","",INDEX(Table2[e],IF(Table1[[#This Row],[Column5]]="","",MATCH(Table1[[#This Row],[Column5]],Table2[a],0)),))</f>
        <v/>
      </c>
      <c r="K217" s="234"/>
      <c r="L217" s="234"/>
      <c r="N217" s="432"/>
      <c r="O217" s="432" t="str">
        <f>IF(Table1[[#This Row],[h_Item Description]]="","",INDEX([1]!db[NB PAJAK],MATCH(Table1[[#This Row],[h_Item Description]],[1]!db[kode],0)))</f>
        <v/>
      </c>
      <c r="Q217" s="237"/>
      <c r="R217" s="238"/>
      <c r="S217" s="238"/>
      <c r="T217" s="435" t="str">
        <f>Table1[[#This Row],[h_hargasetelahdiskon]]</f>
        <v/>
      </c>
      <c r="V217" s="234"/>
      <c r="W217" s="234" t="str">
        <f ca="1">IF(Table1[[#This Row],[Column12]]="","",IF(Table1[[#This Row],[//]]="",INDIRECT(ADDRESS(ROW()-1,COLUMN())),Table1[[#This Row],[//]]))</f>
        <v/>
      </c>
      <c r="X217" s="234" t="str">
        <f ca="1">IF(Table1[[#This Row],[h_id]]="","",COUNTIF(Table1[h_id],Table1[[#This Row],[h_id]]))</f>
        <v/>
      </c>
      <c r="Y217" s="237" t="str">
        <f>IF(Table1[[#This Row],[Column12]]="","",Table1[[#This Row],[Qty]]*Table1[[#This Row],[Column13]])</f>
        <v/>
      </c>
      <c r="Z217" s="435" t="str">
        <f>IF(Table1[[#This Row],[h_hargasebelumdiskon]]="","",IF(Table1[[#This Row],[Column14]]="",0,Table1[[#This Row],[h_hargasebelumdiskon]]*Table1[[#This Row],[Column14]]))</f>
        <v/>
      </c>
      <c r="AA217" s="435" t="str">
        <f>IF(Table1[[#This Row],[h_hargasebelumdiskon]]="","",IF(Table1[[#This Row],[Column15]]="",0,(Table1[[#This Row],[h_hargasebelumdiskon]]-Table1[[#This Row],[h_disc 1]])*Table1[[#This Row],[Column15]]))</f>
        <v/>
      </c>
      <c r="AB217" s="237" t="str">
        <f>IF(Table1[[#This Row],[Column12]]="","",Table1[[#This Row],[h_disc 1]]+Table1[[#This Row],[h_disc 2]])</f>
        <v/>
      </c>
      <c r="AC217" s="237" t="str">
        <f>IF(Table1[[#This Row],[Column12]]="","",Table1[[#This Row],[h_hargasebelumdiskon]]-Table1[[#This Row],[h_diskon]])</f>
        <v/>
      </c>
      <c r="AD217" s="237" t="str">
        <f ca="1">IF(Table1[[#This Row],[//]]="","",SUMIF(Table1[h_id],Table1[[#This Row],[h_id]],Table1[h_hargasetelahdiskon]))</f>
        <v/>
      </c>
      <c r="AF217" s="237" t="str">
        <f>Table1[[#This Row],[Column12]]&amp;Table1[[#This Row],[Unit]]&amp;Table1[[#This Row],[Column13]]</f>
        <v/>
      </c>
      <c r="AG217"/>
      <c r="AH217"/>
      <c r="AI217"/>
    </row>
    <row r="218" spans="1:35">
      <c r="A218" s="234" t="str">
        <f ca="1">IF(Table1[[#This Row],[No. Invoice :]]="","",ROW())</f>
        <v/>
      </c>
      <c r="B218" s="432" t="str">
        <f ca="1">IF(Table1[[#This Row],[Column3]]="","",B$1+COUNT(INDIRECT("B$2:B"&amp;ROW()-1)))</f>
        <v/>
      </c>
      <c r="C218" s="235" t="str">
        <f>IF(Table1[[#This Row],[Column2]]="","",Table1[[#This Row],[Column2]]+C$1-1)</f>
        <v/>
      </c>
      <c r="D218" s="433"/>
      <c r="E218" s="434"/>
      <c r="F218" s="432"/>
      <c r="G218" s="234" t="str">
        <f ca="1">IF(Table1[[#This Row],[h_No. Invoice :]]="","",CONCATENATE("AM"," ",Table1[[#This Row],[h_No. Invoice :]]))</f>
        <v/>
      </c>
      <c r="H218" s="432" t="str">
        <f>IF(Table1[[#This Row],[Column5]]="","",INDEX(Table2[Column1],MATCH(Table1[[#This Row],[Column5]],Table2[a],0)))</f>
        <v/>
      </c>
      <c r="I218" s="234" t="str">
        <f>IF(Table1[[#This Row],[Column3]]=0,"",CONCATENATE(UPPER(Table1[[#This Row],[Column3]])," ",Table1[[#This Row],[Column4]]))</f>
        <v xml:space="preserve"> </v>
      </c>
      <c r="J218" s="234" t="str">
        <f>IF(Table1[[#This Row],[Column5]]="","",INDEX(Table2[e],IF(Table1[[#This Row],[Column5]]="","",MATCH(Table1[[#This Row],[Column5]],Table2[a],0)),))</f>
        <v/>
      </c>
      <c r="K218" s="234"/>
      <c r="L218" s="234"/>
      <c r="N218" s="432"/>
      <c r="O218" s="432" t="str">
        <f>IF(Table1[[#This Row],[h_Item Description]]="","",INDEX([1]!db[NB PAJAK],MATCH(Table1[[#This Row],[h_Item Description]],[1]!db[kode],0)))</f>
        <v/>
      </c>
      <c r="Q218" s="237"/>
      <c r="R218" s="238"/>
      <c r="S218" s="238"/>
      <c r="T218" s="435" t="str">
        <f>Table1[[#This Row],[h_hargasetelahdiskon]]</f>
        <v/>
      </c>
      <c r="V218" s="234"/>
      <c r="W218" s="234" t="str">
        <f ca="1">IF(Table1[[#This Row],[Column12]]="","",IF(Table1[[#This Row],[//]]="",INDIRECT(ADDRESS(ROW()-1,COLUMN())),Table1[[#This Row],[//]]))</f>
        <v/>
      </c>
      <c r="X218" s="234" t="str">
        <f ca="1">IF(Table1[[#This Row],[h_id]]="","",COUNTIF(Table1[h_id],Table1[[#This Row],[h_id]]))</f>
        <v/>
      </c>
      <c r="Y218" s="237" t="str">
        <f>IF(Table1[[#This Row],[Column12]]="","",Table1[[#This Row],[Qty]]*Table1[[#This Row],[Column13]])</f>
        <v/>
      </c>
      <c r="Z218" s="435" t="str">
        <f>IF(Table1[[#This Row],[h_hargasebelumdiskon]]="","",IF(Table1[[#This Row],[Column14]]="",0,Table1[[#This Row],[h_hargasebelumdiskon]]*Table1[[#This Row],[Column14]]))</f>
        <v/>
      </c>
      <c r="AA218" s="435" t="str">
        <f>IF(Table1[[#This Row],[h_hargasebelumdiskon]]="","",IF(Table1[[#This Row],[Column15]]="",0,(Table1[[#This Row],[h_hargasebelumdiskon]]-Table1[[#This Row],[h_disc 1]])*Table1[[#This Row],[Column15]]))</f>
        <v/>
      </c>
      <c r="AB218" s="237" t="str">
        <f>IF(Table1[[#This Row],[Column12]]="","",Table1[[#This Row],[h_disc 1]]+Table1[[#This Row],[h_disc 2]])</f>
        <v/>
      </c>
      <c r="AC218" s="237" t="str">
        <f>IF(Table1[[#This Row],[Column12]]="","",Table1[[#This Row],[h_hargasebelumdiskon]]-Table1[[#This Row],[h_diskon]])</f>
        <v/>
      </c>
      <c r="AD218" s="237" t="str">
        <f ca="1">IF(Table1[[#This Row],[//]]="","",SUMIF(Table1[h_id],Table1[[#This Row],[h_id]],Table1[h_hargasetelahdiskon]))</f>
        <v/>
      </c>
      <c r="AF218" s="237" t="str">
        <f>Table1[[#This Row],[Column12]]&amp;Table1[[#This Row],[Unit]]&amp;Table1[[#This Row],[Column13]]</f>
        <v/>
      </c>
      <c r="AG218"/>
      <c r="AH218"/>
      <c r="AI218"/>
    </row>
    <row r="219" spans="1:35">
      <c r="A219" s="234" t="str">
        <f ca="1">IF(Table1[[#This Row],[No. Invoice :]]="","",ROW())</f>
        <v/>
      </c>
      <c r="B219" s="432" t="str">
        <f ca="1">IF(Table1[[#This Row],[Column3]]="","",B$1+COUNT(INDIRECT("B$2:B"&amp;ROW()-1)))</f>
        <v/>
      </c>
      <c r="C219" s="235" t="str">
        <f>IF(Table1[[#This Row],[Column2]]="","",Table1[[#This Row],[Column2]]+C$1-1)</f>
        <v/>
      </c>
      <c r="D219" s="433"/>
      <c r="E219" s="434"/>
      <c r="F219" s="432"/>
      <c r="G219" s="234" t="str">
        <f ca="1">IF(Table1[[#This Row],[h_No. Invoice :]]="","",CONCATENATE("AM"," ",Table1[[#This Row],[h_No. Invoice :]]))</f>
        <v/>
      </c>
      <c r="H219" s="432" t="str">
        <f>IF(Table1[[#This Row],[Column5]]="","",INDEX(Table2[Column1],MATCH(Table1[[#This Row],[Column5]],Table2[a],0)))</f>
        <v/>
      </c>
      <c r="I219" s="234" t="str">
        <f>IF(Table1[[#This Row],[Column3]]=0,"",CONCATENATE(UPPER(Table1[[#This Row],[Column3]])," ",Table1[[#This Row],[Column4]]))</f>
        <v xml:space="preserve"> </v>
      </c>
      <c r="J219" s="234" t="str">
        <f>IF(Table1[[#This Row],[Column5]]="","",INDEX(Table2[e],IF(Table1[[#This Row],[Column5]]="","",MATCH(Table1[[#This Row],[Column5]],Table2[a],0)),))</f>
        <v/>
      </c>
      <c r="K219" s="234"/>
      <c r="L219" s="234"/>
      <c r="N219" s="432"/>
      <c r="O219" s="432" t="str">
        <f>IF(Table1[[#This Row],[h_Item Description]]="","",INDEX([1]!db[NB PAJAK],MATCH(Table1[[#This Row],[h_Item Description]],[1]!db[kode],0)))</f>
        <v/>
      </c>
      <c r="Q219" s="237"/>
      <c r="R219" s="238"/>
      <c r="S219" s="238"/>
      <c r="T219" s="435" t="str">
        <f>Table1[[#This Row],[h_hargasetelahdiskon]]</f>
        <v/>
      </c>
      <c r="V219" s="234"/>
      <c r="W219" s="234" t="str">
        <f ca="1">IF(Table1[[#This Row],[Column12]]="","",IF(Table1[[#This Row],[//]]="",INDIRECT(ADDRESS(ROW()-1,COLUMN())),Table1[[#This Row],[//]]))</f>
        <v/>
      </c>
      <c r="X219" s="234" t="str">
        <f ca="1">IF(Table1[[#This Row],[h_id]]="","",COUNTIF(Table1[h_id],Table1[[#This Row],[h_id]]))</f>
        <v/>
      </c>
      <c r="Y219" s="237" t="str">
        <f>IF(Table1[[#This Row],[Column12]]="","",Table1[[#This Row],[Qty]]*Table1[[#This Row],[Column13]])</f>
        <v/>
      </c>
      <c r="Z219" s="435" t="str">
        <f>IF(Table1[[#This Row],[h_hargasebelumdiskon]]="","",IF(Table1[[#This Row],[Column14]]="",0,Table1[[#This Row],[h_hargasebelumdiskon]]*Table1[[#This Row],[Column14]]))</f>
        <v/>
      </c>
      <c r="AA219" s="435" t="str">
        <f>IF(Table1[[#This Row],[h_hargasebelumdiskon]]="","",IF(Table1[[#This Row],[Column15]]="",0,(Table1[[#This Row],[h_hargasebelumdiskon]]-Table1[[#This Row],[h_disc 1]])*Table1[[#This Row],[Column15]]))</f>
        <v/>
      </c>
      <c r="AB219" s="237" t="str">
        <f>IF(Table1[[#This Row],[Column12]]="","",Table1[[#This Row],[h_disc 1]]+Table1[[#This Row],[h_disc 2]])</f>
        <v/>
      </c>
      <c r="AC219" s="237" t="str">
        <f>IF(Table1[[#This Row],[Column12]]="","",Table1[[#This Row],[h_hargasebelumdiskon]]-Table1[[#This Row],[h_diskon]])</f>
        <v/>
      </c>
      <c r="AD219" s="237" t="str">
        <f ca="1">IF(Table1[[#This Row],[//]]="","",SUMIF(Table1[h_id],Table1[[#This Row],[h_id]],Table1[h_hargasetelahdiskon]))</f>
        <v/>
      </c>
      <c r="AF219" s="237" t="str">
        <f>Table1[[#This Row],[Column12]]&amp;Table1[[#This Row],[Unit]]&amp;Table1[[#This Row],[Column13]]</f>
        <v/>
      </c>
      <c r="AG219"/>
      <c r="AH219"/>
      <c r="AI219"/>
    </row>
    <row r="220" spans="1:35">
      <c r="A220" s="234" t="str">
        <f ca="1">IF(Table1[[#This Row],[No. Invoice :]]="","",ROW())</f>
        <v/>
      </c>
      <c r="B220" s="432" t="str">
        <f ca="1">IF(Table1[[#This Row],[Column3]]="","",B$1+COUNT(INDIRECT("B$2:B"&amp;ROW()-1)))</f>
        <v/>
      </c>
      <c r="C220" s="235" t="str">
        <f>IF(Table1[[#This Row],[Column2]]="","",Table1[[#This Row],[Column2]]+C$1-1)</f>
        <v/>
      </c>
      <c r="D220" s="433"/>
      <c r="E220" s="434"/>
      <c r="F220" s="432"/>
      <c r="G220" s="234" t="str">
        <f ca="1">IF(Table1[[#This Row],[h_No. Invoice :]]="","",CONCATENATE("AM"," ",Table1[[#This Row],[h_No. Invoice :]]))</f>
        <v/>
      </c>
      <c r="H220" s="432" t="str">
        <f>IF(Table1[[#This Row],[Column5]]="","",INDEX(Table2[Column1],MATCH(Table1[[#This Row],[Column5]],Table2[a],0)))</f>
        <v/>
      </c>
      <c r="I220" s="234" t="str">
        <f>IF(Table1[[#This Row],[Column3]]=0,"",CONCATENATE(UPPER(Table1[[#This Row],[Column3]])," ",Table1[[#This Row],[Column4]]))</f>
        <v xml:space="preserve"> </v>
      </c>
      <c r="J220" s="234" t="str">
        <f>IF(Table1[[#This Row],[Column5]]="","",INDEX(Table2[e],IF(Table1[[#This Row],[Column5]]="","",MATCH(Table1[[#This Row],[Column5]],Table2[a],0)),))</f>
        <v/>
      </c>
      <c r="K220" s="234"/>
      <c r="L220" s="234"/>
      <c r="N220" s="432"/>
      <c r="O220" s="432" t="str">
        <f>IF(Table1[[#This Row],[h_Item Description]]="","",INDEX([1]!db[NB PAJAK],MATCH(Table1[[#This Row],[h_Item Description]],[1]!db[kode],0)))</f>
        <v/>
      </c>
      <c r="Q220" s="237"/>
      <c r="R220" s="238"/>
      <c r="S220" s="238"/>
      <c r="T220" s="435" t="str">
        <f>Table1[[#This Row],[h_hargasetelahdiskon]]</f>
        <v/>
      </c>
      <c r="V220" s="234"/>
      <c r="W220" s="234" t="str">
        <f ca="1">IF(Table1[[#This Row],[Column12]]="","",IF(Table1[[#This Row],[//]]="",INDIRECT(ADDRESS(ROW()-1,COLUMN())),Table1[[#This Row],[//]]))</f>
        <v/>
      </c>
      <c r="X220" s="234" t="str">
        <f ca="1">IF(Table1[[#This Row],[h_id]]="","",COUNTIF(Table1[h_id],Table1[[#This Row],[h_id]]))</f>
        <v/>
      </c>
      <c r="Y220" s="237" t="str">
        <f>IF(Table1[[#This Row],[Column12]]="","",Table1[[#This Row],[Qty]]*Table1[[#This Row],[Column13]])</f>
        <v/>
      </c>
      <c r="Z220" s="435" t="str">
        <f>IF(Table1[[#This Row],[h_hargasebelumdiskon]]="","",IF(Table1[[#This Row],[Column14]]="",0,Table1[[#This Row],[h_hargasebelumdiskon]]*Table1[[#This Row],[Column14]]))</f>
        <v/>
      </c>
      <c r="AA220" s="435" t="str">
        <f>IF(Table1[[#This Row],[h_hargasebelumdiskon]]="","",IF(Table1[[#This Row],[Column15]]="",0,(Table1[[#This Row],[h_hargasebelumdiskon]]-Table1[[#This Row],[h_disc 1]])*Table1[[#This Row],[Column15]]))</f>
        <v/>
      </c>
      <c r="AB220" s="237" t="str">
        <f>IF(Table1[[#This Row],[Column12]]="","",Table1[[#This Row],[h_disc 1]]+Table1[[#This Row],[h_disc 2]])</f>
        <v/>
      </c>
      <c r="AC220" s="237" t="str">
        <f>IF(Table1[[#This Row],[Column12]]="","",Table1[[#This Row],[h_hargasebelumdiskon]]-Table1[[#This Row],[h_diskon]])</f>
        <v/>
      </c>
      <c r="AD220" s="237" t="str">
        <f ca="1">IF(Table1[[#This Row],[//]]="","",SUMIF(Table1[h_id],Table1[[#This Row],[h_id]],Table1[h_hargasetelahdiskon]))</f>
        <v/>
      </c>
      <c r="AF220" s="237" t="str">
        <f>Table1[[#This Row],[Column12]]&amp;Table1[[#This Row],[Unit]]&amp;Table1[[#This Row],[Column13]]</f>
        <v/>
      </c>
      <c r="AG220"/>
      <c r="AH220"/>
      <c r="AI220"/>
    </row>
    <row r="221" spans="1:35">
      <c r="A221" s="234" t="str">
        <f ca="1">IF(Table1[[#This Row],[No. Invoice :]]="","",ROW())</f>
        <v/>
      </c>
      <c r="B221" s="432" t="str">
        <f ca="1">IF(Table1[[#This Row],[Column3]]="","",B$1+COUNT(INDIRECT("B$2:B"&amp;ROW()-1)))</f>
        <v/>
      </c>
      <c r="C221" s="235" t="str">
        <f>IF(Table1[[#This Row],[Column2]]="","",Table1[[#This Row],[Column2]]+C$1-1)</f>
        <v/>
      </c>
      <c r="D221" s="433"/>
      <c r="E221" s="434"/>
      <c r="F221" s="432"/>
      <c r="G221" s="234" t="str">
        <f ca="1">IF(Table1[[#This Row],[h_No. Invoice :]]="","",CONCATENATE("AM"," ",Table1[[#This Row],[h_No. Invoice :]]))</f>
        <v/>
      </c>
      <c r="H221" s="432" t="str">
        <f>IF(Table1[[#This Row],[Column5]]="","",INDEX(Table2[Column1],MATCH(Table1[[#This Row],[Column5]],Table2[a],0)))</f>
        <v/>
      </c>
      <c r="I221" s="234" t="str">
        <f>IF(Table1[[#This Row],[Column3]]=0,"",CONCATENATE(UPPER(Table1[[#This Row],[Column3]])," ",Table1[[#This Row],[Column4]]))</f>
        <v xml:space="preserve"> </v>
      </c>
      <c r="J221" s="234" t="str">
        <f>IF(Table1[[#This Row],[Column5]]="","",INDEX(Table2[e],IF(Table1[[#This Row],[Column5]]="","",MATCH(Table1[[#This Row],[Column5]],Table2[a],0)),))</f>
        <v/>
      </c>
      <c r="K221" s="234"/>
      <c r="L221" s="234"/>
      <c r="N221" s="432"/>
      <c r="O221" s="432" t="str">
        <f>IF(Table1[[#This Row],[h_Item Description]]="","",INDEX([1]!db[NB PAJAK],MATCH(Table1[[#This Row],[h_Item Description]],[1]!db[kode],0)))</f>
        <v/>
      </c>
      <c r="Q221" s="237"/>
      <c r="R221" s="238"/>
      <c r="S221" s="238"/>
      <c r="T221" s="435" t="str">
        <f>Table1[[#This Row],[h_hargasetelahdiskon]]</f>
        <v/>
      </c>
      <c r="V221" s="234"/>
      <c r="W221" s="234" t="str">
        <f ca="1">IF(Table1[[#This Row],[Column12]]="","",IF(Table1[[#This Row],[//]]="",INDIRECT(ADDRESS(ROW()-1,COLUMN())),Table1[[#This Row],[//]]))</f>
        <v/>
      </c>
      <c r="X221" s="234" t="str">
        <f ca="1">IF(Table1[[#This Row],[h_id]]="","",COUNTIF(Table1[h_id],Table1[[#This Row],[h_id]]))</f>
        <v/>
      </c>
      <c r="Y221" s="237" t="str">
        <f>IF(Table1[[#This Row],[Column12]]="","",Table1[[#This Row],[Qty]]*Table1[[#This Row],[Column13]])</f>
        <v/>
      </c>
      <c r="Z221" s="435" t="str">
        <f>IF(Table1[[#This Row],[h_hargasebelumdiskon]]="","",IF(Table1[[#This Row],[Column14]]="",0,Table1[[#This Row],[h_hargasebelumdiskon]]*Table1[[#This Row],[Column14]]))</f>
        <v/>
      </c>
      <c r="AA221" s="435" t="str">
        <f>IF(Table1[[#This Row],[h_hargasebelumdiskon]]="","",IF(Table1[[#This Row],[Column15]]="",0,(Table1[[#This Row],[h_hargasebelumdiskon]]-Table1[[#This Row],[h_disc 1]])*Table1[[#This Row],[Column15]]))</f>
        <v/>
      </c>
      <c r="AB221" s="237" t="str">
        <f>IF(Table1[[#This Row],[Column12]]="","",Table1[[#This Row],[h_disc 1]]+Table1[[#This Row],[h_disc 2]])</f>
        <v/>
      </c>
      <c r="AC221" s="237" t="str">
        <f>IF(Table1[[#This Row],[Column12]]="","",Table1[[#This Row],[h_hargasebelumdiskon]]-Table1[[#This Row],[h_diskon]])</f>
        <v/>
      </c>
      <c r="AD221" s="237" t="str">
        <f ca="1">IF(Table1[[#This Row],[//]]="","",SUMIF(Table1[h_id],Table1[[#This Row],[h_id]],Table1[h_hargasetelahdiskon]))</f>
        <v/>
      </c>
      <c r="AF221" s="237" t="str">
        <f>Table1[[#This Row],[Column12]]&amp;Table1[[#This Row],[Unit]]&amp;Table1[[#This Row],[Column13]]</f>
        <v/>
      </c>
      <c r="AG221"/>
      <c r="AH221"/>
      <c r="AI221"/>
    </row>
    <row r="222" spans="1:35">
      <c r="A222" s="234" t="str">
        <f ca="1">IF(Table1[[#This Row],[No. Invoice :]]="","",ROW())</f>
        <v/>
      </c>
      <c r="B222" s="432" t="str">
        <f ca="1">IF(Table1[[#This Row],[Column3]]="","",B$1+COUNT(INDIRECT("B$2:B"&amp;ROW()-1)))</f>
        <v/>
      </c>
      <c r="C222" s="235" t="str">
        <f>IF(Table1[[#This Row],[Column2]]="","",Table1[[#This Row],[Column2]]+C$1-1)</f>
        <v/>
      </c>
      <c r="D222" s="433"/>
      <c r="E222" s="434"/>
      <c r="F222" s="432"/>
      <c r="G222" s="234" t="str">
        <f ca="1">IF(Table1[[#This Row],[h_No. Invoice :]]="","",CONCATENATE("AM"," ",Table1[[#This Row],[h_No. Invoice :]]))</f>
        <v/>
      </c>
      <c r="H222" s="432" t="str">
        <f>IF(Table1[[#This Row],[Column5]]="","",INDEX(Table2[Column1],MATCH(Table1[[#This Row],[Column5]],Table2[a],0)))</f>
        <v/>
      </c>
      <c r="I222" s="234" t="str">
        <f>IF(Table1[[#This Row],[Column3]]=0,"",CONCATENATE(UPPER(Table1[[#This Row],[Column3]])," ",Table1[[#This Row],[Column4]]))</f>
        <v xml:space="preserve"> </v>
      </c>
      <c r="J222" s="234" t="str">
        <f>IF(Table1[[#This Row],[Column5]]="","",INDEX(Table2[e],IF(Table1[[#This Row],[Column5]]="","",MATCH(Table1[[#This Row],[Column5]],Table2[a],0)),))</f>
        <v/>
      </c>
      <c r="K222" s="234"/>
      <c r="L222" s="234"/>
      <c r="N222" s="432"/>
      <c r="O222" s="432" t="str">
        <f>IF(Table1[[#This Row],[h_Item Description]]="","",INDEX([1]!db[NB PAJAK],MATCH(Table1[[#This Row],[h_Item Description]],[1]!db[kode],0)))</f>
        <v/>
      </c>
      <c r="Q222" s="237"/>
      <c r="R222" s="238"/>
      <c r="S222" s="238"/>
      <c r="T222" s="435" t="str">
        <f>Table1[[#This Row],[h_hargasetelahdiskon]]</f>
        <v/>
      </c>
      <c r="V222" s="234"/>
      <c r="W222" s="234" t="str">
        <f ca="1">IF(Table1[[#This Row],[Column12]]="","",IF(Table1[[#This Row],[//]]="",INDIRECT(ADDRESS(ROW()-1,COLUMN())),Table1[[#This Row],[//]]))</f>
        <v/>
      </c>
      <c r="X222" s="234" t="str">
        <f ca="1">IF(Table1[[#This Row],[h_id]]="","",COUNTIF(Table1[h_id],Table1[[#This Row],[h_id]]))</f>
        <v/>
      </c>
      <c r="Y222" s="237" t="str">
        <f>IF(Table1[[#This Row],[Column12]]="","",Table1[[#This Row],[Qty]]*Table1[[#This Row],[Column13]])</f>
        <v/>
      </c>
      <c r="Z222" s="435" t="str">
        <f>IF(Table1[[#This Row],[h_hargasebelumdiskon]]="","",IF(Table1[[#This Row],[Column14]]="",0,Table1[[#This Row],[h_hargasebelumdiskon]]*Table1[[#This Row],[Column14]]))</f>
        <v/>
      </c>
      <c r="AA222" s="435" t="str">
        <f>IF(Table1[[#This Row],[h_hargasebelumdiskon]]="","",IF(Table1[[#This Row],[Column15]]="",0,(Table1[[#This Row],[h_hargasebelumdiskon]]-Table1[[#This Row],[h_disc 1]])*Table1[[#This Row],[Column15]]))</f>
        <v/>
      </c>
      <c r="AB222" s="237" t="str">
        <f>IF(Table1[[#This Row],[Column12]]="","",Table1[[#This Row],[h_disc 1]]+Table1[[#This Row],[h_disc 2]])</f>
        <v/>
      </c>
      <c r="AC222" s="237" t="str">
        <f>IF(Table1[[#This Row],[Column12]]="","",Table1[[#This Row],[h_hargasebelumdiskon]]-Table1[[#This Row],[h_diskon]])</f>
        <v/>
      </c>
      <c r="AD222" s="237" t="str">
        <f ca="1">IF(Table1[[#This Row],[//]]="","",SUMIF(Table1[h_id],Table1[[#This Row],[h_id]],Table1[h_hargasetelahdiskon]))</f>
        <v/>
      </c>
      <c r="AF222" s="237" t="str">
        <f>Table1[[#This Row],[Column12]]&amp;Table1[[#This Row],[Unit]]&amp;Table1[[#This Row],[Column13]]</f>
        <v/>
      </c>
      <c r="AG222"/>
      <c r="AH222"/>
      <c r="AI222"/>
    </row>
    <row r="223" spans="1:35">
      <c r="A223" s="234" t="str">
        <f ca="1">IF(Table1[[#This Row],[No. Invoice :]]="","",ROW())</f>
        <v/>
      </c>
      <c r="B223" s="432" t="str">
        <f ca="1">IF(Table1[[#This Row],[Column3]]="","",B$1+COUNT(INDIRECT("B$2:B"&amp;ROW()-1)))</f>
        <v/>
      </c>
      <c r="C223" s="235" t="str">
        <f>IF(Table1[[#This Row],[Column2]]="","",Table1[[#This Row],[Column2]]+C$1-1)</f>
        <v/>
      </c>
      <c r="D223" s="433"/>
      <c r="E223" s="434"/>
      <c r="F223" s="432"/>
      <c r="G223" s="234" t="str">
        <f ca="1">IF(Table1[[#This Row],[h_No. Invoice :]]="","",CONCATENATE("AM"," ",Table1[[#This Row],[h_No. Invoice :]]))</f>
        <v/>
      </c>
      <c r="H223" s="432" t="str">
        <f>IF(Table1[[#This Row],[Column5]]="","",INDEX(Table2[Column1],MATCH(Table1[[#This Row],[Column5]],Table2[a],0)))</f>
        <v/>
      </c>
      <c r="I223" s="234" t="str">
        <f>IF(Table1[[#This Row],[Column3]]=0,"",CONCATENATE(UPPER(Table1[[#This Row],[Column3]])," ",Table1[[#This Row],[Column4]]))</f>
        <v xml:space="preserve"> </v>
      </c>
      <c r="J223" s="234" t="str">
        <f>IF(Table1[[#This Row],[Column5]]="","",INDEX(Table2[e],IF(Table1[[#This Row],[Column5]]="","",MATCH(Table1[[#This Row],[Column5]],Table2[a],0)),))</f>
        <v/>
      </c>
      <c r="K223" s="234"/>
      <c r="L223" s="234"/>
      <c r="N223" s="432"/>
      <c r="O223" s="432" t="str">
        <f>IF(Table1[[#This Row],[h_Item Description]]="","",INDEX([1]!db[NB PAJAK],MATCH(Table1[[#This Row],[h_Item Description]],[1]!db[kode],0)))</f>
        <v/>
      </c>
      <c r="Q223" s="237"/>
      <c r="R223" s="238"/>
      <c r="S223" s="238"/>
      <c r="T223" s="435" t="str">
        <f>Table1[[#This Row],[h_hargasetelahdiskon]]</f>
        <v/>
      </c>
      <c r="V223" s="234"/>
      <c r="W223" s="234" t="str">
        <f ca="1">IF(Table1[[#This Row],[Column12]]="","",IF(Table1[[#This Row],[//]]="",INDIRECT(ADDRESS(ROW()-1,COLUMN())),Table1[[#This Row],[//]]))</f>
        <v/>
      </c>
      <c r="X223" s="234" t="str">
        <f ca="1">IF(Table1[[#This Row],[h_id]]="","",COUNTIF(Table1[h_id],Table1[[#This Row],[h_id]]))</f>
        <v/>
      </c>
      <c r="Y223" s="237" t="str">
        <f>IF(Table1[[#This Row],[Column12]]="","",Table1[[#This Row],[Qty]]*Table1[[#This Row],[Column13]])</f>
        <v/>
      </c>
      <c r="Z223" s="435" t="str">
        <f>IF(Table1[[#This Row],[h_hargasebelumdiskon]]="","",IF(Table1[[#This Row],[Column14]]="",0,Table1[[#This Row],[h_hargasebelumdiskon]]*Table1[[#This Row],[Column14]]))</f>
        <v/>
      </c>
      <c r="AA223" s="435" t="str">
        <f>IF(Table1[[#This Row],[h_hargasebelumdiskon]]="","",IF(Table1[[#This Row],[Column15]]="",0,(Table1[[#This Row],[h_hargasebelumdiskon]]-Table1[[#This Row],[h_disc 1]])*Table1[[#This Row],[Column15]]))</f>
        <v/>
      </c>
      <c r="AB223" s="237" t="str">
        <f>IF(Table1[[#This Row],[Column12]]="","",Table1[[#This Row],[h_disc 1]]+Table1[[#This Row],[h_disc 2]])</f>
        <v/>
      </c>
      <c r="AC223" s="237" t="str">
        <f>IF(Table1[[#This Row],[Column12]]="","",Table1[[#This Row],[h_hargasebelumdiskon]]-Table1[[#This Row],[h_diskon]])</f>
        <v/>
      </c>
      <c r="AD223" s="237" t="str">
        <f ca="1">IF(Table1[[#This Row],[//]]="","",SUMIF(Table1[h_id],Table1[[#This Row],[h_id]],Table1[h_hargasetelahdiskon]))</f>
        <v/>
      </c>
      <c r="AF223" s="237" t="str">
        <f>Table1[[#This Row],[Column12]]&amp;Table1[[#This Row],[Unit]]&amp;Table1[[#This Row],[Column13]]</f>
        <v/>
      </c>
      <c r="AG223"/>
      <c r="AH223"/>
      <c r="AI223"/>
    </row>
    <row r="224" spans="1:35">
      <c r="A224" s="234" t="str">
        <f ca="1">IF(Table1[[#This Row],[No. Invoice :]]="","",ROW())</f>
        <v/>
      </c>
      <c r="B224" s="432" t="str">
        <f ca="1">IF(Table1[[#This Row],[Column3]]="","",B$1+COUNT(INDIRECT("B$2:B"&amp;ROW()-1)))</f>
        <v/>
      </c>
      <c r="C224" s="235" t="str">
        <f>IF(Table1[[#This Row],[Column2]]="","",Table1[[#This Row],[Column2]]+C$1-1)</f>
        <v/>
      </c>
      <c r="D224" s="433"/>
      <c r="E224" s="434"/>
      <c r="F224" s="432"/>
      <c r="G224" s="234" t="str">
        <f ca="1">IF(Table1[[#This Row],[h_No. Invoice :]]="","",CONCATENATE("AM"," ",Table1[[#This Row],[h_No. Invoice :]]))</f>
        <v/>
      </c>
      <c r="H224" s="432" t="str">
        <f>IF(Table1[[#This Row],[Column5]]="","",INDEX(Table2[Column1],MATCH(Table1[[#This Row],[Column5]],Table2[a],0)))</f>
        <v/>
      </c>
      <c r="I224" s="234" t="str">
        <f>IF(Table1[[#This Row],[Column3]]=0,"",CONCATENATE(UPPER(Table1[[#This Row],[Column3]])," ",Table1[[#This Row],[Column4]]))</f>
        <v xml:space="preserve"> </v>
      </c>
      <c r="J224" s="234" t="str">
        <f>IF(Table1[[#This Row],[Column5]]="","",INDEX(Table2[e],IF(Table1[[#This Row],[Column5]]="","",MATCH(Table1[[#This Row],[Column5]],Table2[a],0)),))</f>
        <v/>
      </c>
      <c r="K224" s="234"/>
      <c r="L224" s="234"/>
      <c r="N224" s="432"/>
      <c r="O224" s="432" t="str">
        <f>IF(Table1[[#This Row],[h_Item Description]]="","",INDEX([1]!db[NB PAJAK],MATCH(Table1[[#This Row],[h_Item Description]],[1]!db[kode],0)))</f>
        <v/>
      </c>
      <c r="Q224" s="237"/>
      <c r="R224" s="238"/>
      <c r="S224" s="238"/>
      <c r="T224" s="435" t="str">
        <f>Table1[[#This Row],[h_hargasetelahdiskon]]</f>
        <v/>
      </c>
      <c r="V224" s="234"/>
      <c r="W224" s="234" t="str">
        <f ca="1">IF(Table1[[#This Row],[Column12]]="","",IF(Table1[[#This Row],[//]]="",INDIRECT(ADDRESS(ROW()-1,COLUMN())),Table1[[#This Row],[//]]))</f>
        <v/>
      </c>
      <c r="X224" s="234" t="str">
        <f ca="1">IF(Table1[[#This Row],[h_id]]="","",COUNTIF(Table1[h_id],Table1[[#This Row],[h_id]]))</f>
        <v/>
      </c>
      <c r="Y224" s="237" t="str">
        <f>IF(Table1[[#This Row],[Column12]]="","",Table1[[#This Row],[Qty]]*Table1[[#This Row],[Column13]])</f>
        <v/>
      </c>
      <c r="Z224" s="435" t="str">
        <f>IF(Table1[[#This Row],[h_hargasebelumdiskon]]="","",IF(Table1[[#This Row],[Column14]]="",0,Table1[[#This Row],[h_hargasebelumdiskon]]*Table1[[#This Row],[Column14]]))</f>
        <v/>
      </c>
      <c r="AA224" s="435" t="str">
        <f>IF(Table1[[#This Row],[h_hargasebelumdiskon]]="","",IF(Table1[[#This Row],[Column15]]="",0,(Table1[[#This Row],[h_hargasebelumdiskon]]-Table1[[#This Row],[h_disc 1]])*Table1[[#This Row],[Column15]]))</f>
        <v/>
      </c>
      <c r="AB224" s="237" t="str">
        <f>IF(Table1[[#This Row],[Column12]]="","",Table1[[#This Row],[h_disc 1]]+Table1[[#This Row],[h_disc 2]])</f>
        <v/>
      </c>
      <c r="AC224" s="237" t="str">
        <f>IF(Table1[[#This Row],[Column12]]="","",Table1[[#This Row],[h_hargasebelumdiskon]]-Table1[[#This Row],[h_diskon]])</f>
        <v/>
      </c>
      <c r="AD224" s="237" t="str">
        <f ca="1">IF(Table1[[#This Row],[//]]="","",SUMIF(Table1[h_id],Table1[[#This Row],[h_id]],Table1[h_hargasetelahdiskon]))</f>
        <v/>
      </c>
      <c r="AF224" s="237" t="str">
        <f>Table1[[#This Row],[Column12]]&amp;Table1[[#This Row],[Unit]]&amp;Table1[[#This Row],[Column13]]</f>
        <v/>
      </c>
      <c r="AG224"/>
      <c r="AH224"/>
      <c r="AI224"/>
    </row>
    <row r="225" spans="1:35">
      <c r="A225" s="234" t="str">
        <f ca="1">IF(Table1[[#This Row],[No. Invoice :]]="","",ROW())</f>
        <v/>
      </c>
      <c r="B225" s="234" t="str">
        <f ca="1">IF(Table1[[#This Row],[Column3]]="","",B$1+COUNT(INDIRECT("B$2:B"&amp;ROW()-1)))</f>
        <v/>
      </c>
      <c r="C225" s="235" t="str">
        <f>IF(Table1[[#This Row],[Column2]]="","",Table1[[#This Row],[Column2]]+C$1-1)</f>
        <v/>
      </c>
      <c r="E225" s="236"/>
      <c r="F225" s="234"/>
      <c r="G225" s="234" t="str">
        <f ca="1">IF(Table1[[#This Row],[h_No. Invoice :]]="","",CONCATENATE("AM"," ",Table1[[#This Row],[h_No. Invoice :]]))</f>
        <v/>
      </c>
      <c r="H225" s="234" t="str">
        <f>IF(Table1[[#This Row],[Column5]]="","",INDEX(Table2[Column1],MATCH(Table1[[#This Row],[Column5]],Table2[a],0)))</f>
        <v/>
      </c>
      <c r="I225" s="234" t="str">
        <f>IF(Table1[[#This Row],[Column3]]=0,"",CONCATENATE(UPPER(Table1[[#This Row],[Column3]])," ",Table1[[#This Row],[Column4]]))</f>
        <v xml:space="preserve"> </v>
      </c>
      <c r="J225" s="234" t="str">
        <f>IF(Table1[[#This Row],[Column5]]="","",INDEX(Table2[e],IF(Table1[[#This Row],[Column5]]="","",MATCH(Table1[[#This Row],[Column5]],Table2[a],0)),))</f>
        <v/>
      </c>
      <c r="K225" s="234"/>
      <c r="L225" s="234"/>
      <c r="O225" s="234" t="str">
        <f>IF(Table1[[#This Row],[h_Item Description]]="","",INDEX([1]!db[NB PAJAK],MATCH(Table1[[#This Row],[h_Item Description]],[1]!db[kode],0)))</f>
        <v/>
      </c>
      <c r="Q225" s="237"/>
      <c r="R225" s="238"/>
      <c r="S225" s="238"/>
      <c r="T225" s="237" t="str">
        <f>Table1[[#This Row],[h_hargasetelahdiskon]]</f>
        <v/>
      </c>
      <c r="V225" s="234"/>
      <c r="W225" s="234" t="str">
        <f ca="1">IF(Table1[[#This Row],[Column12]]="","",IF(Table1[[#This Row],[//]]="",INDIRECT(ADDRESS(ROW()-1,COLUMN())),Table1[[#This Row],[//]]))</f>
        <v/>
      </c>
      <c r="X225" s="234" t="str">
        <f ca="1">IF(Table1[[#This Row],[h_id]]="","",COUNTIF(Table1[h_id],Table1[[#This Row],[h_id]]))</f>
        <v/>
      </c>
      <c r="Y225" s="237" t="str">
        <f>IF(Table1[[#This Row],[Column12]]="","",Table1[[#This Row],[Qty]]*Table1[[#This Row],[Column13]])</f>
        <v/>
      </c>
      <c r="Z225" s="237" t="str">
        <f>IF(Table1[[#This Row],[h_hargasebelumdiskon]]="","",IF(Table1[[#This Row],[Column14]]="",0,Table1[[#This Row],[h_hargasebelumdiskon]]*Table1[[#This Row],[Column14]]))</f>
        <v/>
      </c>
      <c r="AA225" s="237" t="str">
        <f>IF(Table1[[#This Row],[h_hargasebelumdiskon]]="","",IF(Table1[[#This Row],[Column15]]="",0,(Table1[[#This Row],[h_hargasebelumdiskon]]-Table1[[#This Row],[h_disc 1]])*Table1[[#This Row],[Column15]]))</f>
        <v/>
      </c>
      <c r="AB225" s="237" t="str">
        <f>IF(Table1[[#This Row],[Column12]]="","",Table1[[#This Row],[h_disc 1]]+Table1[[#This Row],[h_disc 2]])</f>
        <v/>
      </c>
      <c r="AC225" s="237" t="str">
        <f>IF(Table1[[#This Row],[Column12]]="","",Table1[[#This Row],[h_hargasebelumdiskon]]-Table1[[#This Row],[h_diskon]])</f>
        <v/>
      </c>
      <c r="AD225" s="237" t="str">
        <f ca="1">IF(Table1[[#This Row],[//]]="","",SUMIF(Table1[h_id],Table1[[#This Row],[h_id]],Table1[h_hargasetelahdiskon]))</f>
        <v/>
      </c>
      <c r="AF225" s="237" t="str">
        <f>Table1[[#This Row],[Column12]]&amp;Table1[[#This Row],[Unit]]&amp;Table1[[#This Row],[Column13]]</f>
        <v/>
      </c>
      <c r="AG225"/>
      <c r="AH225"/>
      <c r="AI225"/>
    </row>
    <row r="226" spans="1:35">
      <c r="A226" s="234" t="str">
        <f ca="1">IF(Table1[[#This Row],[No. Invoice :]]="","",ROW())</f>
        <v/>
      </c>
      <c r="B226" s="234" t="str">
        <f ca="1">IF(Table1[[#This Row],[Column3]]="","",B$1+COUNT(INDIRECT("B$2:B"&amp;ROW()-1)))</f>
        <v/>
      </c>
      <c r="C226" s="235" t="str">
        <f>IF(Table1[[#This Row],[Column2]]="","",Table1[[#This Row],[Column2]]+C$1-1)</f>
        <v/>
      </c>
      <c r="E226" s="236"/>
      <c r="F226" s="234"/>
      <c r="G226" s="234" t="str">
        <f ca="1">IF(Table1[[#This Row],[h_No. Invoice :]]="","",CONCATENATE("AM"," ",Table1[[#This Row],[h_No. Invoice :]]))</f>
        <v/>
      </c>
      <c r="H226" s="234" t="str">
        <f>IF(Table1[[#This Row],[Column5]]="","",INDEX(Table2[Column1],MATCH(Table1[[#This Row],[Column5]],Table2[a],0)))</f>
        <v/>
      </c>
      <c r="I226" s="234" t="str">
        <f>IF(Table1[[#This Row],[Column3]]=0,"",CONCATENATE(UPPER(Table1[[#This Row],[Column3]])," ",Table1[[#This Row],[Column4]]))</f>
        <v xml:space="preserve"> </v>
      </c>
      <c r="J226" s="234" t="str">
        <f>IF(Table1[[#This Row],[Column5]]="","",INDEX(Table2[e],IF(Table1[[#This Row],[Column5]]="","",MATCH(Table1[[#This Row],[Column5]],Table2[a],0)),))</f>
        <v/>
      </c>
      <c r="K226" s="234"/>
      <c r="L226" s="234"/>
      <c r="O226" s="234" t="str">
        <f>IF(Table1[[#This Row],[h_Item Description]]="","",INDEX([1]!db[NB PAJAK],MATCH(Table1[[#This Row],[h_Item Description]],[1]!db[kode],0)))</f>
        <v/>
      </c>
      <c r="Q226" s="237"/>
      <c r="R226" s="238"/>
      <c r="S226" s="238"/>
      <c r="T226" s="237" t="str">
        <f>Table1[[#This Row],[h_hargasetelahdiskon]]</f>
        <v/>
      </c>
      <c r="V226" s="234"/>
      <c r="W226" s="234" t="str">
        <f ca="1">IF(Table1[[#This Row],[Column12]]="","",IF(Table1[[#This Row],[//]]="",INDIRECT(ADDRESS(ROW()-1,COLUMN())),Table1[[#This Row],[//]]))</f>
        <v/>
      </c>
      <c r="X226" s="234" t="str">
        <f ca="1">IF(Table1[[#This Row],[h_id]]="","",COUNTIF(Table1[h_id],Table1[[#This Row],[h_id]]))</f>
        <v/>
      </c>
      <c r="Y226" s="237" t="str">
        <f>IF(Table1[[#This Row],[Column12]]="","",Table1[[#This Row],[Qty]]*Table1[[#This Row],[Column13]])</f>
        <v/>
      </c>
      <c r="Z226" s="237" t="str">
        <f>IF(Table1[[#This Row],[h_hargasebelumdiskon]]="","",IF(Table1[[#This Row],[Column14]]="",0,Table1[[#This Row],[h_hargasebelumdiskon]]*Table1[[#This Row],[Column14]]))</f>
        <v/>
      </c>
      <c r="AA226" s="237" t="str">
        <f>IF(Table1[[#This Row],[h_hargasebelumdiskon]]="","",IF(Table1[[#This Row],[Column15]]="",0,(Table1[[#This Row],[h_hargasebelumdiskon]]-Table1[[#This Row],[h_disc 1]])*Table1[[#This Row],[Column15]]))</f>
        <v/>
      </c>
      <c r="AB226" s="237" t="str">
        <f>IF(Table1[[#This Row],[Column12]]="","",Table1[[#This Row],[h_disc 1]]+Table1[[#This Row],[h_disc 2]])</f>
        <v/>
      </c>
      <c r="AC226" s="237" t="str">
        <f>IF(Table1[[#This Row],[Column12]]="","",Table1[[#This Row],[h_hargasebelumdiskon]]-Table1[[#This Row],[h_diskon]])</f>
        <v/>
      </c>
      <c r="AD226" s="237" t="str">
        <f ca="1">IF(Table1[[#This Row],[//]]="","",SUMIF(Table1[h_id],Table1[[#This Row],[h_id]],Table1[h_hargasetelahdiskon]))</f>
        <v/>
      </c>
      <c r="AF226" s="237" t="str">
        <f>Table1[[#This Row],[Column12]]&amp;Table1[[#This Row],[Unit]]&amp;Table1[[#This Row],[Column13]]</f>
        <v/>
      </c>
      <c r="AG226"/>
      <c r="AH226"/>
      <c r="AI226"/>
    </row>
    <row r="227" spans="1:35">
      <c r="A227" s="234" t="str">
        <f ca="1">IF(Table1[[#This Row],[No. Invoice :]]="","",ROW())</f>
        <v/>
      </c>
      <c r="B227" s="432" t="str">
        <f ca="1">IF(Table1[[#This Row],[Column3]]="","",B$1+COUNT(INDIRECT("B$2:B"&amp;ROW()-1)))</f>
        <v/>
      </c>
      <c r="C227" s="235" t="str">
        <f>IF(Table1[[#This Row],[Column2]]="","",Table1[[#This Row],[Column2]]+C$1-1)</f>
        <v/>
      </c>
      <c r="D227" s="433"/>
      <c r="E227" s="434"/>
      <c r="F227" s="432"/>
      <c r="G227" s="234" t="str">
        <f ca="1">IF(Table1[[#This Row],[h_No. Invoice :]]="","",CONCATENATE("AM"," ",Table1[[#This Row],[h_No. Invoice :]]))</f>
        <v/>
      </c>
      <c r="H227" s="432" t="str">
        <f>IF(Table1[[#This Row],[Column5]]="","",INDEX(Table2[Column1],MATCH(Table1[[#This Row],[Column5]],Table2[a],0)))</f>
        <v/>
      </c>
      <c r="I227" s="234" t="str">
        <f>IF(Table1[[#This Row],[Column3]]=0,"",CONCATENATE(UPPER(Table1[[#This Row],[Column3]])," ",Table1[[#This Row],[Column4]]))</f>
        <v xml:space="preserve"> </v>
      </c>
      <c r="J227" s="234" t="str">
        <f>IF(Table1[[#This Row],[Column5]]="","",INDEX(Table2[e],IF(Table1[[#This Row],[Column5]]="","",MATCH(Table1[[#This Row],[Column5]],Table2[a],0)),))</f>
        <v/>
      </c>
      <c r="K227" s="234"/>
      <c r="L227" s="234"/>
      <c r="N227" s="432"/>
      <c r="O227" s="432" t="str">
        <f>IF(Table1[[#This Row],[h_Item Description]]="","",INDEX([1]!db[NB PAJAK],MATCH(Table1[[#This Row],[h_Item Description]],[1]!db[kode],0)))</f>
        <v/>
      </c>
      <c r="Q227" s="237"/>
      <c r="R227" s="238"/>
      <c r="S227" s="238"/>
      <c r="T227" s="435" t="str">
        <f>Table1[[#This Row],[h_hargasetelahdiskon]]</f>
        <v/>
      </c>
      <c r="V227" s="234"/>
      <c r="W227" s="234" t="str">
        <f ca="1">IF(Table1[[#This Row],[Column12]]="","",IF(Table1[[#This Row],[//]]="",INDIRECT(ADDRESS(ROW()-1,COLUMN())),Table1[[#This Row],[//]]))</f>
        <v/>
      </c>
      <c r="X227" s="234" t="str">
        <f ca="1">IF(Table1[[#This Row],[h_id]]="","",COUNTIF(Table1[h_id],Table1[[#This Row],[h_id]]))</f>
        <v/>
      </c>
      <c r="Y227" s="237" t="str">
        <f>IF(Table1[[#This Row],[Column12]]="","",Table1[[#This Row],[Qty]]*Table1[[#This Row],[Column13]])</f>
        <v/>
      </c>
      <c r="Z227" s="435" t="str">
        <f>IF(Table1[[#This Row],[h_hargasebelumdiskon]]="","",IF(Table1[[#This Row],[Column14]]="",0,Table1[[#This Row],[h_hargasebelumdiskon]]*Table1[[#This Row],[Column14]]))</f>
        <v/>
      </c>
      <c r="AA227" s="435" t="str">
        <f>IF(Table1[[#This Row],[h_hargasebelumdiskon]]="","",IF(Table1[[#This Row],[Column15]]="",0,(Table1[[#This Row],[h_hargasebelumdiskon]]-Table1[[#This Row],[h_disc 1]])*Table1[[#This Row],[Column15]]))</f>
        <v/>
      </c>
      <c r="AB227" s="237" t="str">
        <f>IF(Table1[[#This Row],[Column12]]="","",Table1[[#This Row],[h_disc 1]]+Table1[[#This Row],[h_disc 2]])</f>
        <v/>
      </c>
      <c r="AC227" s="237" t="str">
        <f>IF(Table1[[#This Row],[Column12]]="","",Table1[[#This Row],[h_hargasebelumdiskon]]-Table1[[#This Row],[h_diskon]])</f>
        <v/>
      </c>
      <c r="AD227" s="237" t="str">
        <f ca="1">IF(Table1[[#This Row],[//]]="","",SUMIF(Table1[h_id],Table1[[#This Row],[h_id]],Table1[h_hargasetelahdiskon]))</f>
        <v/>
      </c>
      <c r="AF227" s="237" t="str">
        <f>Table1[[#This Row],[Column12]]&amp;Table1[[#This Row],[Unit]]&amp;Table1[[#This Row],[Column13]]</f>
        <v/>
      </c>
      <c r="AG227"/>
      <c r="AH227"/>
      <c r="AI227"/>
    </row>
    <row r="228" spans="1:35">
      <c r="A228" s="234" t="str">
        <f ca="1">IF(Table1[[#This Row],[No. Invoice :]]="","",ROW())</f>
        <v/>
      </c>
      <c r="B228" s="432" t="str">
        <f ca="1">IF(Table1[[#This Row],[Column3]]="","",B$1+COUNT(INDIRECT("B$2:B"&amp;ROW()-1)))</f>
        <v/>
      </c>
      <c r="C228" s="235" t="str">
        <f>IF(Table1[[#This Row],[Column2]]="","",Table1[[#This Row],[Column2]]+C$1-1)</f>
        <v/>
      </c>
      <c r="D228" s="433"/>
      <c r="E228" s="434"/>
      <c r="F228" s="432"/>
      <c r="G228" s="234" t="str">
        <f ca="1">IF(Table1[[#This Row],[h_No. Invoice :]]="","",CONCATENATE("AM"," ",Table1[[#This Row],[h_No. Invoice :]]))</f>
        <v/>
      </c>
      <c r="H228" s="432" t="str">
        <f>IF(Table1[[#This Row],[Column5]]="","",INDEX(Table2[Column1],MATCH(Table1[[#This Row],[Column5]],Table2[a],0)))</f>
        <v/>
      </c>
      <c r="I228" s="234" t="str">
        <f>IF(Table1[[#This Row],[Column3]]=0,"",CONCATENATE(UPPER(Table1[[#This Row],[Column3]])," ",Table1[[#This Row],[Column4]]))</f>
        <v xml:space="preserve"> </v>
      </c>
      <c r="J228" s="234" t="str">
        <f>IF(Table1[[#This Row],[Column5]]="","",INDEX(Table2[e],IF(Table1[[#This Row],[Column5]]="","",MATCH(Table1[[#This Row],[Column5]],Table2[a],0)),))</f>
        <v/>
      </c>
      <c r="K228" s="234"/>
      <c r="L228" s="234"/>
      <c r="N228" s="432"/>
      <c r="O228" s="432" t="str">
        <f>IF(Table1[[#This Row],[h_Item Description]]="","",INDEX([1]!db[NB PAJAK],MATCH(Table1[[#This Row],[h_Item Description]],[1]!db[kode],0)))</f>
        <v/>
      </c>
      <c r="Q228" s="237"/>
      <c r="R228" s="238"/>
      <c r="S228" s="238"/>
      <c r="T228" s="435" t="str">
        <f>Table1[[#This Row],[h_hargasetelahdiskon]]</f>
        <v/>
      </c>
      <c r="V228" s="234"/>
      <c r="W228" s="234" t="str">
        <f ca="1">IF(Table1[[#This Row],[Column12]]="","",IF(Table1[[#This Row],[//]]="",INDIRECT(ADDRESS(ROW()-1,COLUMN())),Table1[[#This Row],[//]]))</f>
        <v/>
      </c>
      <c r="X228" s="234" t="str">
        <f ca="1">IF(Table1[[#This Row],[h_id]]="","",COUNTIF(Table1[h_id],Table1[[#This Row],[h_id]]))</f>
        <v/>
      </c>
      <c r="Y228" s="237" t="str">
        <f>IF(Table1[[#This Row],[Column12]]="","",Table1[[#This Row],[Qty]]*Table1[[#This Row],[Column13]])</f>
        <v/>
      </c>
      <c r="Z228" s="435" t="str">
        <f>IF(Table1[[#This Row],[h_hargasebelumdiskon]]="","",IF(Table1[[#This Row],[Column14]]="",0,Table1[[#This Row],[h_hargasebelumdiskon]]*Table1[[#This Row],[Column14]]))</f>
        <v/>
      </c>
      <c r="AA228" s="435" t="str">
        <f>IF(Table1[[#This Row],[h_hargasebelumdiskon]]="","",IF(Table1[[#This Row],[Column15]]="",0,(Table1[[#This Row],[h_hargasebelumdiskon]]-Table1[[#This Row],[h_disc 1]])*Table1[[#This Row],[Column15]]))</f>
        <v/>
      </c>
      <c r="AB228" s="237" t="str">
        <f>IF(Table1[[#This Row],[Column12]]="","",Table1[[#This Row],[h_disc 1]]+Table1[[#This Row],[h_disc 2]])</f>
        <v/>
      </c>
      <c r="AC228" s="237" t="str">
        <f>IF(Table1[[#This Row],[Column12]]="","",Table1[[#This Row],[h_hargasebelumdiskon]]-Table1[[#This Row],[h_diskon]])</f>
        <v/>
      </c>
      <c r="AD228" s="237" t="str">
        <f ca="1">IF(Table1[[#This Row],[//]]="","",SUMIF(Table1[h_id],Table1[[#This Row],[h_id]],Table1[h_hargasetelahdiskon]))</f>
        <v/>
      </c>
      <c r="AF228" s="237" t="str">
        <f>Table1[[#This Row],[Column12]]&amp;Table1[[#This Row],[Unit]]&amp;Table1[[#This Row],[Column13]]</f>
        <v/>
      </c>
      <c r="AG228"/>
      <c r="AH228"/>
      <c r="AI228"/>
    </row>
    <row r="229" spans="1:35">
      <c r="A229" s="234" t="str">
        <f ca="1">IF(Table1[[#This Row],[No. Invoice :]]="","",ROW())</f>
        <v/>
      </c>
      <c r="B229" s="432" t="str">
        <f ca="1">IF(Table1[[#This Row],[Column3]]="","",B$1+COUNT(INDIRECT("B$2:B"&amp;ROW()-1)))</f>
        <v/>
      </c>
      <c r="C229" s="235" t="str">
        <f>IF(Table1[[#This Row],[Column2]]="","",Table1[[#This Row],[Column2]]+C$1-1)</f>
        <v/>
      </c>
      <c r="D229" s="433"/>
      <c r="E229" s="434"/>
      <c r="F229" s="432"/>
      <c r="G229" s="234" t="str">
        <f ca="1">IF(Table1[[#This Row],[h_No. Invoice :]]="","",CONCATENATE("AM"," ",Table1[[#This Row],[h_No. Invoice :]]))</f>
        <v/>
      </c>
      <c r="H229" s="432" t="str">
        <f>IF(Table1[[#This Row],[Column5]]="","",INDEX(Table2[Column1],MATCH(Table1[[#This Row],[Column5]],Table2[a],0)))</f>
        <v/>
      </c>
      <c r="I229" s="234" t="str">
        <f>IF(Table1[[#This Row],[Column3]]=0,"",CONCATENATE(UPPER(Table1[[#This Row],[Column3]])," ",Table1[[#This Row],[Column4]]))</f>
        <v xml:space="preserve"> </v>
      </c>
      <c r="J229" s="234" t="str">
        <f>IF(Table1[[#This Row],[Column5]]="","",INDEX(Table2[e],IF(Table1[[#This Row],[Column5]]="","",MATCH(Table1[[#This Row],[Column5]],Table2[a],0)),))</f>
        <v/>
      </c>
      <c r="K229" s="234"/>
      <c r="L229" s="234"/>
      <c r="N229" s="432"/>
      <c r="O229" s="432" t="str">
        <f>IF(Table1[[#This Row],[h_Item Description]]="","",INDEX([1]!db[NB PAJAK],MATCH(Table1[[#This Row],[h_Item Description]],[1]!db[kode],0)))</f>
        <v/>
      </c>
      <c r="Q229" s="237"/>
      <c r="R229" s="238"/>
      <c r="S229" s="238"/>
      <c r="T229" s="435" t="str">
        <f>Table1[[#This Row],[h_hargasetelahdiskon]]</f>
        <v/>
      </c>
      <c r="V229" s="234"/>
      <c r="W229" s="234" t="str">
        <f ca="1">IF(Table1[[#This Row],[Column12]]="","",IF(Table1[[#This Row],[//]]="",INDIRECT(ADDRESS(ROW()-1,COLUMN())),Table1[[#This Row],[//]]))</f>
        <v/>
      </c>
      <c r="X229" s="234" t="str">
        <f ca="1">IF(Table1[[#This Row],[h_id]]="","",COUNTIF(Table1[h_id],Table1[[#This Row],[h_id]]))</f>
        <v/>
      </c>
      <c r="Y229" s="237" t="str">
        <f>IF(Table1[[#This Row],[Column12]]="","",Table1[[#This Row],[Qty]]*Table1[[#This Row],[Column13]])</f>
        <v/>
      </c>
      <c r="Z229" s="435" t="str">
        <f>IF(Table1[[#This Row],[h_hargasebelumdiskon]]="","",IF(Table1[[#This Row],[Column14]]="",0,Table1[[#This Row],[h_hargasebelumdiskon]]*Table1[[#This Row],[Column14]]))</f>
        <v/>
      </c>
      <c r="AA229" s="435" t="str">
        <f>IF(Table1[[#This Row],[h_hargasebelumdiskon]]="","",IF(Table1[[#This Row],[Column15]]="",0,(Table1[[#This Row],[h_hargasebelumdiskon]]-Table1[[#This Row],[h_disc 1]])*Table1[[#This Row],[Column15]]))</f>
        <v/>
      </c>
      <c r="AB229" s="237" t="str">
        <f>IF(Table1[[#This Row],[Column12]]="","",Table1[[#This Row],[h_disc 1]]+Table1[[#This Row],[h_disc 2]])</f>
        <v/>
      </c>
      <c r="AC229" s="237" t="str">
        <f>IF(Table1[[#This Row],[Column12]]="","",Table1[[#This Row],[h_hargasebelumdiskon]]-Table1[[#This Row],[h_diskon]])</f>
        <v/>
      </c>
      <c r="AD229" s="237" t="str">
        <f ca="1">IF(Table1[[#This Row],[//]]="","",SUMIF(Table1[h_id],Table1[[#This Row],[h_id]],Table1[h_hargasetelahdiskon]))</f>
        <v/>
      </c>
      <c r="AF229" s="237" t="str">
        <f>Table1[[#This Row],[Column12]]&amp;Table1[[#This Row],[Unit]]&amp;Table1[[#This Row],[Column13]]</f>
        <v/>
      </c>
      <c r="AG229"/>
      <c r="AH229"/>
      <c r="AI229"/>
    </row>
    <row r="230" spans="1:35">
      <c r="A230" s="234" t="str">
        <f ca="1">IF(Table1[[#This Row],[No. Invoice :]]="","",ROW())</f>
        <v/>
      </c>
      <c r="B230" s="432" t="str">
        <f ca="1">IF(Table1[[#This Row],[Column3]]="","",B$1+COUNT(INDIRECT("B$2:B"&amp;ROW()-1)))</f>
        <v/>
      </c>
      <c r="C230" s="235" t="str">
        <f>IF(Table1[[#This Row],[Column2]]="","",Table1[[#This Row],[Column2]]+C$1-1)</f>
        <v/>
      </c>
      <c r="D230" s="433"/>
      <c r="E230" s="434"/>
      <c r="F230" s="432"/>
      <c r="G230" s="234" t="str">
        <f ca="1">IF(Table1[[#This Row],[h_No. Invoice :]]="","",CONCATENATE("AM"," ",Table1[[#This Row],[h_No. Invoice :]]))</f>
        <v/>
      </c>
      <c r="H230" s="432" t="str">
        <f>IF(Table1[[#This Row],[Column5]]="","",INDEX(Table2[Column1],MATCH(Table1[[#This Row],[Column5]],Table2[a],0)))</f>
        <v/>
      </c>
      <c r="I230" s="234" t="str">
        <f>IF(Table1[[#This Row],[Column3]]=0,"",CONCATENATE(UPPER(Table1[[#This Row],[Column3]])," ",Table1[[#This Row],[Column4]]))</f>
        <v xml:space="preserve"> </v>
      </c>
      <c r="J230" s="234" t="str">
        <f>IF(Table1[[#This Row],[Column5]]="","",INDEX(Table2[e],IF(Table1[[#This Row],[Column5]]="","",MATCH(Table1[[#This Row],[Column5]],Table2[a],0)),))</f>
        <v/>
      </c>
      <c r="K230" s="234"/>
      <c r="L230" s="234"/>
      <c r="N230" s="432"/>
      <c r="O230" s="432" t="str">
        <f>IF(Table1[[#This Row],[h_Item Description]]="","",INDEX([1]!db[NB PAJAK],MATCH(Table1[[#This Row],[h_Item Description]],[1]!db[kode],0)))</f>
        <v/>
      </c>
      <c r="Q230" s="237"/>
      <c r="R230" s="238"/>
      <c r="S230" s="238"/>
      <c r="T230" s="435" t="str">
        <f>Table1[[#This Row],[h_hargasetelahdiskon]]</f>
        <v/>
      </c>
      <c r="V230" s="234"/>
      <c r="W230" s="234" t="str">
        <f ca="1">IF(Table1[[#This Row],[Column12]]="","",IF(Table1[[#This Row],[//]]="",INDIRECT(ADDRESS(ROW()-1,COLUMN())),Table1[[#This Row],[//]]))</f>
        <v/>
      </c>
      <c r="X230" s="234" t="str">
        <f ca="1">IF(Table1[[#This Row],[h_id]]="","",COUNTIF(Table1[h_id],Table1[[#This Row],[h_id]]))</f>
        <v/>
      </c>
      <c r="Y230" s="237" t="str">
        <f>IF(Table1[[#This Row],[Column12]]="","",Table1[[#This Row],[Qty]]*Table1[[#This Row],[Column13]])</f>
        <v/>
      </c>
      <c r="Z230" s="435" t="str">
        <f>IF(Table1[[#This Row],[h_hargasebelumdiskon]]="","",IF(Table1[[#This Row],[Column14]]="",0,Table1[[#This Row],[h_hargasebelumdiskon]]*Table1[[#This Row],[Column14]]))</f>
        <v/>
      </c>
      <c r="AA230" s="435" t="str">
        <f>IF(Table1[[#This Row],[h_hargasebelumdiskon]]="","",IF(Table1[[#This Row],[Column15]]="",0,(Table1[[#This Row],[h_hargasebelumdiskon]]-Table1[[#This Row],[h_disc 1]])*Table1[[#This Row],[Column15]]))</f>
        <v/>
      </c>
      <c r="AB230" s="237" t="str">
        <f>IF(Table1[[#This Row],[Column12]]="","",Table1[[#This Row],[h_disc 1]]+Table1[[#This Row],[h_disc 2]])</f>
        <v/>
      </c>
      <c r="AC230" s="237" t="str">
        <f>IF(Table1[[#This Row],[Column12]]="","",Table1[[#This Row],[h_hargasebelumdiskon]]-Table1[[#This Row],[h_diskon]])</f>
        <v/>
      </c>
      <c r="AD230" s="237" t="str">
        <f ca="1">IF(Table1[[#This Row],[//]]="","",SUMIF(Table1[h_id],Table1[[#This Row],[h_id]],Table1[h_hargasetelahdiskon]))</f>
        <v/>
      </c>
      <c r="AF230" s="237" t="str">
        <f>Table1[[#This Row],[Column12]]&amp;Table1[[#This Row],[Unit]]&amp;Table1[[#This Row],[Column13]]</f>
        <v/>
      </c>
      <c r="AG230"/>
      <c r="AH230"/>
      <c r="AI230"/>
    </row>
    <row r="231" spans="1:35">
      <c r="A231" s="234" t="str">
        <f ca="1">IF(Table1[[#This Row],[No. Invoice :]]="","",ROW())</f>
        <v/>
      </c>
      <c r="B231" s="432" t="str">
        <f ca="1">IF(Table1[[#This Row],[Column3]]="","",B$1+COUNT(INDIRECT("B$2:B"&amp;ROW()-1)))</f>
        <v/>
      </c>
      <c r="C231" s="235" t="str">
        <f>IF(Table1[[#This Row],[Column2]]="","",Table1[[#This Row],[Column2]]+C$1-1)</f>
        <v/>
      </c>
      <c r="D231" s="433"/>
      <c r="E231" s="434"/>
      <c r="F231" s="432"/>
      <c r="G231" s="234" t="str">
        <f ca="1">IF(Table1[[#This Row],[h_No. Invoice :]]="","",CONCATENATE("AM"," ",Table1[[#This Row],[h_No. Invoice :]]))</f>
        <v/>
      </c>
      <c r="H231" s="432" t="str">
        <f>IF(Table1[[#This Row],[Column5]]="","",INDEX(Table2[Column1],MATCH(Table1[[#This Row],[Column5]],Table2[a],0)))</f>
        <v/>
      </c>
      <c r="I231" s="234" t="str">
        <f>IF(Table1[[#This Row],[Column3]]=0,"",CONCATENATE(UPPER(Table1[[#This Row],[Column3]])," ",Table1[[#This Row],[Column4]]))</f>
        <v xml:space="preserve"> </v>
      </c>
      <c r="J231" s="234" t="str">
        <f>IF(Table1[[#This Row],[Column5]]="","",INDEX(Table2[e],IF(Table1[[#This Row],[Column5]]="","",MATCH(Table1[[#This Row],[Column5]],Table2[a],0)),))</f>
        <v/>
      </c>
      <c r="K231" s="234"/>
      <c r="L231" s="234"/>
      <c r="N231" s="432"/>
      <c r="O231" s="432" t="str">
        <f>IF(Table1[[#This Row],[h_Item Description]]="","",INDEX([1]!db[NB PAJAK],MATCH(Table1[[#This Row],[h_Item Description]],[1]!db[kode],0)))</f>
        <v/>
      </c>
      <c r="Q231" s="237"/>
      <c r="R231" s="238"/>
      <c r="S231" s="238"/>
      <c r="T231" s="435" t="str">
        <f>Table1[[#This Row],[h_hargasetelahdiskon]]</f>
        <v/>
      </c>
      <c r="V231" s="234"/>
      <c r="W231" s="234" t="str">
        <f ca="1">IF(Table1[[#This Row],[Column12]]="","",IF(Table1[[#This Row],[//]]="",INDIRECT(ADDRESS(ROW()-1,COLUMN())),Table1[[#This Row],[//]]))</f>
        <v/>
      </c>
      <c r="X231" s="234" t="str">
        <f ca="1">IF(Table1[[#This Row],[h_id]]="","",COUNTIF(Table1[h_id],Table1[[#This Row],[h_id]]))</f>
        <v/>
      </c>
      <c r="Y231" s="237" t="str">
        <f>IF(Table1[[#This Row],[Column12]]="","",Table1[[#This Row],[Qty]]*Table1[[#This Row],[Column13]])</f>
        <v/>
      </c>
      <c r="Z231" s="435" t="str">
        <f>IF(Table1[[#This Row],[h_hargasebelumdiskon]]="","",IF(Table1[[#This Row],[Column14]]="",0,Table1[[#This Row],[h_hargasebelumdiskon]]*Table1[[#This Row],[Column14]]))</f>
        <v/>
      </c>
      <c r="AA231" s="435" t="str">
        <f>IF(Table1[[#This Row],[h_hargasebelumdiskon]]="","",IF(Table1[[#This Row],[Column15]]="",0,(Table1[[#This Row],[h_hargasebelumdiskon]]-Table1[[#This Row],[h_disc 1]])*Table1[[#This Row],[Column15]]))</f>
        <v/>
      </c>
      <c r="AB231" s="237" t="str">
        <f>IF(Table1[[#This Row],[Column12]]="","",Table1[[#This Row],[h_disc 1]]+Table1[[#This Row],[h_disc 2]])</f>
        <v/>
      </c>
      <c r="AC231" s="237" t="str">
        <f>IF(Table1[[#This Row],[Column12]]="","",Table1[[#This Row],[h_hargasebelumdiskon]]-Table1[[#This Row],[h_diskon]])</f>
        <v/>
      </c>
      <c r="AD231" s="237" t="str">
        <f ca="1">IF(Table1[[#This Row],[//]]="","",SUMIF(Table1[h_id],Table1[[#This Row],[h_id]],Table1[h_hargasetelahdiskon]))</f>
        <v/>
      </c>
      <c r="AF231" s="237" t="str">
        <f>Table1[[#This Row],[Column12]]&amp;Table1[[#This Row],[Unit]]&amp;Table1[[#This Row],[Column13]]</f>
        <v/>
      </c>
      <c r="AG231"/>
      <c r="AH231"/>
      <c r="AI231"/>
    </row>
    <row r="232" spans="1:35">
      <c r="A232" s="234" t="str">
        <f ca="1">IF(Table1[[#This Row],[No. Invoice :]]="","",ROW())</f>
        <v/>
      </c>
      <c r="B232" s="432" t="str">
        <f ca="1">IF(Table1[[#This Row],[Column3]]="","",B$1+COUNT(INDIRECT("B$2:B"&amp;ROW()-1)))</f>
        <v/>
      </c>
      <c r="C232" s="235" t="str">
        <f>IF(Table1[[#This Row],[Column2]]="","",Table1[[#This Row],[Column2]]+C$1-1)</f>
        <v/>
      </c>
      <c r="D232" s="433"/>
      <c r="E232" s="434"/>
      <c r="F232" s="432"/>
      <c r="G232" s="234" t="str">
        <f ca="1">IF(Table1[[#This Row],[h_No. Invoice :]]="","",CONCATENATE("AM"," ",Table1[[#This Row],[h_No. Invoice :]]))</f>
        <v/>
      </c>
      <c r="H232" s="432" t="str">
        <f>IF(Table1[[#This Row],[Column5]]="","",INDEX(Table2[Column1],MATCH(Table1[[#This Row],[Column5]],Table2[a],0)))</f>
        <v/>
      </c>
      <c r="I232" s="234" t="str">
        <f>IF(Table1[[#This Row],[Column3]]=0,"",CONCATENATE(UPPER(Table1[[#This Row],[Column3]])," ",Table1[[#This Row],[Column4]]))</f>
        <v xml:space="preserve"> </v>
      </c>
      <c r="J232" s="234" t="str">
        <f>IF(Table1[[#This Row],[Column5]]="","",INDEX(Table2[e],IF(Table1[[#This Row],[Column5]]="","",MATCH(Table1[[#This Row],[Column5]],Table2[a],0)),))</f>
        <v/>
      </c>
      <c r="K232" s="234"/>
      <c r="L232" s="234"/>
      <c r="N232" s="432"/>
      <c r="O232" s="432" t="str">
        <f>IF(Table1[[#This Row],[h_Item Description]]="","",INDEX([1]!db[NB PAJAK],MATCH(Table1[[#This Row],[h_Item Description]],[1]!db[kode],0)))</f>
        <v/>
      </c>
      <c r="Q232" s="237"/>
      <c r="R232" s="238"/>
      <c r="S232" s="238"/>
      <c r="T232" s="435" t="str">
        <f>Table1[[#This Row],[h_hargasetelahdiskon]]</f>
        <v/>
      </c>
      <c r="V232" s="234"/>
      <c r="W232" s="234" t="str">
        <f ca="1">IF(Table1[[#This Row],[Column12]]="","",IF(Table1[[#This Row],[//]]="",INDIRECT(ADDRESS(ROW()-1,COLUMN())),Table1[[#This Row],[//]]))</f>
        <v/>
      </c>
      <c r="X232" s="234" t="str">
        <f ca="1">IF(Table1[[#This Row],[h_id]]="","",COUNTIF(Table1[h_id],Table1[[#This Row],[h_id]]))</f>
        <v/>
      </c>
      <c r="Y232" s="237" t="str">
        <f>IF(Table1[[#This Row],[Column12]]="","",Table1[[#This Row],[Qty]]*Table1[[#This Row],[Column13]])</f>
        <v/>
      </c>
      <c r="Z232" s="435" t="str">
        <f>IF(Table1[[#This Row],[h_hargasebelumdiskon]]="","",IF(Table1[[#This Row],[Column14]]="",0,Table1[[#This Row],[h_hargasebelumdiskon]]*Table1[[#This Row],[Column14]]))</f>
        <v/>
      </c>
      <c r="AA232" s="435" t="str">
        <f>IF(Table1[[#This Row],[h_hargasebelumdiskon]]="","",IF(Table1[[#This Row],[Column15]]="",0,(Table1[[#This Row],[h_hargasebelumdiskon]]-Table1[[#This Row],[h_disc 1]])*Table1[[#This Row],[Column15]]))</f>
        <v/>
      </c>
      <c r="AB232" s="237" t="str">
        <f>IF(Table1[[#This Row],[Column12]]="","",Table1[[#This Row],[h_disc 1]]+Table1[[#This Row],[h_disc 2]])</f>
        <v/>
      </c>
      <c r="AC232" s="237" t="str">
        <f>IF(Table1[[#This Row],[Column12]]="","",Table1[[#This Row],[h_hargasebelumdiskon]]-Table1[[#This Row],[h_diskon]])</f>
        <v/>
      </c>
      <c r="AD232" s="237" t="str">
        <f ca="1">IF(Table1[[#This Row],[//]]="","",SUMIF(Table1[h_id],Table1[[#This Row],[h_id]],Table1[h_hargasetelahdiskon]))</f>
        <v/>
      </c>
      <c r="AF232" s="237" t="str">
        <f>Table1[[#This Row],[Column12]]&amp;Table1[[#This Row],[Unit]]&amp;Table1[[#This Row],[Column13]]</f>
        <v/>
      </c>
      <c r="AG232"/>
      <c r="AH232"/>
      <c r="AI232"/>
    </row>
    <row r="233" spans="1:35">
      <c r="A233" s="234" t="str">
        <f ca="1">IF(Table1[[#This Row],[No. Invoice :]]="","",ROW())</f>
        <v/>
      </c>
      <c r="B233" s="432" t="str">
        <f ca="1">IF(Table1[[#This Row],[Column3]]="","",B$1+COUNT(INDIRECT("B$2:B"&amp;ROW()-1)))</f>
        <v/>
      </c>
      <c r="C233" s="235" t="str">
        <f>IF(Table1[[#This Row],[Column2]]="","",Table1[[#This Row],[Column2]]+C$1-1)</f>
        <v/>
      </c>
      <c r="D233" s="433"/>
      <c r="E233" s="434"/>
      <c r="F233" s="432"/>
      <c r="G233" s="234" t="str">
        <f ca="1">IF(Table1[[#This Row],[h_No. Invoice :]]="","",CONCATENATE("AM"," ",Table1[[#This Row],[h_No. Invoice :]]))</f>
        <v/>
      </c>
      <c r="H233" s="432" t="str">
        <f>IF(Table1[[#This Row],[Column5]]="","",INDEX(Table2[Column1],MATCH(Table1[[#This Row],[Column5]],Table2[a],0)))</f>
        <v/>
      </c>
      <c r="I233" s="234" t="str">
        <f>IF(Table1[[#This Row],[Column3]]=0,"",CONCATENATE(UPPER(Table1[[#This Row],[Column3]])," ",Table1[[#This Row],[Column4]]))</f>
        <v xml:space="preserve"> </v>
      </c>
      <c r="J233" s="234" t="str">
        <f>IF(Table1[[#This Row],[Column5]]="","",INDEX(Table2[e],IF(Table1[[#This Row],[Column5]]="","",MATCH(Table1[[#This Row],[Column5]],Table2[a],0)),))</f>
        <v/>
      </c>
      <c r="K233" s="234"/>
      <c r="L233" s="234"/>
      <c r="N233" s="432"/>
      <c r="O233" s="432" t="str">
        <f>IF(Table1[[#This Row],[h_Item Description]]="","",INDEX([1]!db[NB PAJAK],MATCH(Table1[[#This Row],[h_Item Description]],[1]!db[kode],0)))</f>
        <v/>
      </c>
      <c r="Q233" s="237"/>
      <c r="R233" s="238"/>
      <c r="S233" s="238"/>
      <c r="T233" s="435" t="str">
        <f>Table1[[#This Row],[h_hargasetelahdiskon]]</f>
        <v/>
      </c>
      <c r="V233" s="234"/>
      <c r="W233" s="234" t="str">
        <f ca="1">IF(Table1[[#This Row],[Column12]]="","",IF(Table1[[#This Row],[//]]="",INDIRECT(ADDRESS(ROW()-1,COLUMN())),Table1[[#This Row],[//]]))</f>
        <v/>
      </c>
      <c r="X233" s="234" t="str">
        <f ca="1">IF(Table1[[#This Row],[h_id]]="","",COUNTIF(Table1[h_id],Table1[[#This Row],[h_id]]))</f>
        <v/>
      </c>
      <c r="Y233" s="237" t="str">
        <f>IF(Table1[[#This Row],[Column12]]="","",Table1[[#This Row],[Qty]]*Table1[[#This Row],[Column13]])</f>
        <v/>
      </c>
      <c r="Z233" s="435" t="str">
        <f>IF(Table1[[#This Row],[h_hargasebelumdiskon]]="","",IF(Table1[[#This Row],[Column14]]="",0,Table1[[#This Row],[h_hargasebelumdiskon]]*Table1[[#This Row],[Column14]]))</f>
        <v/>
      </c>
      <c r="AA233" s="435" t="str">
        <f>IF(Table1[[#This Row],[h_hargasebelumdiskon]]="","",IF(Table1[[#This Row],[Column15]]="",0,(Table1[[#This Row],[h_hargasebelumdiskon]]-Table1[[#This Row],[h_disc 1]])*Table1[[#This Row],[Column15]]))</f>
        <v/>
      </c>
      <c r="AB233" s="237" t="str">
        <f>IF(Table1[[#This Row],[Column12]]="","",Table1[[#This Row],[h_disc 1]]+Table1[[#This Row],[h_disc 2]])</f>
        <v/>
      </c>
      <c r="AC233" s="237" t="str">
        <f>IF(Table1[[#This Row],[Column12]]="","",Table1[[#This Row],[h_hargasebelumdiskon]]-Table1[[#This Row],[h_diskon]])</f>
        <v/>
      </c>
      <c r="AD233" s="237" t="str">
        <f ca="1">IF(Table1[[#This Row],[//]]="","",SUMIF(Table1[h_id],Table1[[#This Row],[h_id]],Table1[h_hargasetelahdiskon]))</f>
        <v/>
      </c>
      <c r="AF233" s="237" t="str">
        <f>Table1[[#This Row],[Column12]]&amp;Table1[[#This Row],[Unit]]&amp;Table1[[#This Row],[Column13]]</f>
        <v/>
      </c>
      <c r="AG233"/>
      <c r="AH233"/>
      <c r="AI233"/>
    </row>
    <row r="234" spans="1:35">
      <c r="A234" s="234" t="str">
        <f ca="1">IF(Table1[[#This Row],[No. Invoice :]]="","",ROW())</f>
        <v/>
      </c>
      <c r="B234" s="234" t="str">
        <f ca="1">IF(Table1[[#This Row],[Column3]]="","",B$1+COUNT(INDIRECT("B$2:B"&amp;ROW()-1)))</f>
        <v/>
      </c>
      <c r="C234" s="235" t="str">
        <f>IF(Table1[[#This Row],[Column2]]="","",Table1[[#This Row],[Column2]]+C$1-1)</f>
        <v/>
      </c>
      <c r="E234" s="236"/>
      <c r="F234" s="234"/>
      <c r="G234" s="234" t="str">
        <f ca="1">IF(Table1[[#This Row],[h_No. Invoice :]]="","",CONCATENATE("AM"," ",Table1[[#This Row],[h_No. Invoice :]]))</f>
        <v/>
      </c>
      <c r="H234" s="234" t="str">
        <f>IF(Table1[[#This Row],[Column5]]="","",INDEX(Table2[Column1],MATCH(Table1[[#This Row],[Column5]],Table2[a],0)))</f>
        <v/>
      </c>
      <c r="I234" s="234" t="str">
        <f>IF(Table1[[#This Row],[Column3]]=0,"",CONCATENATE(UPPER(Table1[[#This Row],[Column3]])," ",Table1[[#This Row],[Column4]]))</f>
        <v xml:space="preserve"> </v>
      </c>
      <c r="J234" s="234" t="str">
        <f>IF(Table1[[#This Row],[Column5]]="","",INDEX(Table2[e],IF(Table1[[#This Row],[Column5]]="","",MATCH(Table1[[#This Row],[Column5]],Table2[a],0)),))</f>
        <v/>
      </c>
      <c r="K234" s="234"/>
      <c r="L234" s="234"/>
      <c r="O234" s="234" t="str">
        <f>IF(Table1[[#This Row],[h_Item Description]]="","",INDEX([1]!db[NB PAJAK],MATCH(Table1[[#This Row],[h_Item Description]],[1]!db[kode],0)))</f>
        <v/>
      </c>
      <c r="Q234" s="237"/>
      <c r="R234" s="238"/>
      <c r="S234" s="238"/>
      <c r="T234" s="237" t="str">
        <f>Table1[[#This Row],[h_hargasetelahdiskon]]</f>
        <v/>
      </c>
      <c r="V234" s="234"/>
      <c r="W234" s="234" t="str">
        <f ca="1">IF(Table1[[#This Row],[Column12]]="","",IF(Table1[[#This Row],[//]]="",INDIRECT(ADDRESS(ROW()-1,COLUMN())),Table1[[#This Row],[//]]))</f>
        <v/>
      </c>
      <c r="X234" s="234" t="str">
        <f ca="1">IF(Table1[[#This Row],[h_id]]="","",COUNTIF(Table1[h_id],Table1[[#This Row],[h_id]]))</f>
        <v/>
      </c>
      <c r="Y234" s="237" t="str">
        <f>IF(Table1[[#This Row],[Column12]]="","",Table1[[#This Row],[Qty]]*Table1[[#This Row],[Column13]])</f>
        <v/>
      </c>
      <c r="Z234" s="237" t="str">
        <f>IF(Table1[[#This Row],[h_hargasebelumdiskon]]="","",IF(Table1[[#This Row],[Column14]]="",0,Table1[[#This Row],[h_hargasebelumdiskon]]*Table1[[#This Row],[Column14]]))</f>
        <v/>
      </c>
      <c r="AA234" s="237" t="str">
        <f>IF(Table1[[#This Row],[h_hargasebelumdiskon]]="","",IF(Table1[[#This Row],[Column15]]="",0,(Table1[[#This Row],[h_hargasebelumdiskon]]-Table1[[#This Row],[h_disc 1]])*Table1[[#This Row],[Column15]]))</f>
        <v/>
      </c>
      <c r="AB234" s="237" t="str">
        <f>IF(Table1[[#This Row],[Column12]]="","",Table1[[#This Row],[h_disc 1]]+Table1[[#This Row],[h_disc 2]])</f>
        <v/>
      </c>
      <c r="AC234" s="237" t="str">
        <f>IF(Table1[[#This Row],[Column12]]="","",Table1[[#This Row],[h_hargasebelumdiskon]]-Table1[[#This Row],[h_diskon]])</f>
        <v/>
      </c>
      <c r="AD234" s="237" t="str">
        <f ca="1">IF(Table1[[#This Row],[//]]="","",SUMIF(Table1[h_id],Table1[[#This Row],[h_id]],Table1[h_hargasetelahdiskon]))</f>
        <v/>
      </c>
      <c r="AF234" s="237" t="str">
        <f>Table1[[#This Row],[Column12]]&amp;Table1[[#This Row],[Unit]]&amp;Table1[[#This Row],[Column13]]</f>
        <v/>
      </c>
      <c r="AG234"/>
      <c r="AH234"/>
      <c r="AI234"/>
    </row>
    <row r="235" spans="1:35">
      <c r="A235" s="234" t="str">
        <f ca="1">IF(Table1[[#This Row],[No. Invoice :]]="","",ROW())</f>
        <v/>
      </c>
      <c r="B235" s="234" t="str">
        <f ca="1">IF(Table1[[#This Row],[Column3]]="","",B$1+COUNT(INDIRECT("B$2:B"&amp;ROW()-1)))</f>
        <v/>
      </c>
      <c r="C235" s="235" t="str">
        <f>IF(Table1[[#This Row],[Column2]]="","",Table1[[#This Row],[Column2]]+C$1-1)</f>
        <v/>
      </c>
      <c r="E235" s="236"/>
      <c r="F235" s="234"/>
      <c r="G235" s="234" t="str">
        <f ca="1">IF(Table1[[#This Row],[h_No. Invoice :]]="","",CONCATENATE("AM"," ",Table1[[#This Row],[h_No. Invoice :]]))</f>
        <v/>
      </c>
      <c r="H235" s="234" t="str">
        <f>IF(Table1[[#This Row],[Column5]]="","",INDEX(Table2[Column1],MATCH(Table1[[#This Row],[Column5]],Table2[a],0)))</f>
        <v/>
      </c>
      <c r="I235" s="234" t="str">
        <f>IF(Table1[[#This Row],[Column3]]=0,"",CONCATENATE(UPPER(Table1[[#This Row],[Column3]])," ",Table1[[#This Row],[Column4]]))</f>
        <v xml:space="preserve"> </v>
      </c>
      <c r="J235" s="234" t="str">
        <f>IF(Table1[[#This Row],[Column5]]="","",INDEX(Table2[e],IF(Table1[[#This Row],[Column5]]="","",MATCH(Table1[[#This Row],[Column5]],Table2[a],0)),))</f>
        <v/>
      </c>
      <c r="K235" s="234"/>
      <c r="L235" s="234"/>
      <c r="O235" s="234" t="str">
        <f>IF(Table1[[#This Row],[h_Item Description]]="","",INDEX([1]!db[NB PAJAK],MATCH(Table1[[#This Row],[h_Item Description]],[1]!db[kode],0)))</f>
        <v/>
      </c>
      <c r="Q235" s="237"/>
      <c r="R235" s="238"/>
      <c r="S235" s="238"/>
      <c r="T235" s="237" t="str">
        <f>Table1[[#This Row],[h_hargasetelahdiskon]]</f>
        <v/>
      </c>
      <c r="V235" s="234"/>
      <c r="W235" s="234" t="str">
        <f ca="1">IF(Table1[[#This Row],[Column12]]="","",IF(Table1[[#This Row],[//]]="",INDIRECT(ADDRESS(ROW()-1,COLUMN())),Table1[[#This Row],[//]]))</f>
        <v/>
      </c>
      <c r="X235" s="234" t="str">
        <f ca="1">IF(Table1[[#This Row],[h_id]]="","",COUNTIF(Table1[h_id],Table1[[#This Row],[h_id]]))</f>
        <v/>
      </c>
      <c r="Y235" s="237" t="str">
        <f>IF(Table1[[#This Row],[Column12]]="","",Table1[[#This Row],[Qty]]*Table1[[#This Row],[Column13]])</f>
        <v/>
      </c>
      <c r="Z235" s="237" t="str">
        <f>IF(Table1[[#This Row],[h_hargasebelumdiskon]]="","",IF(Table1[[#This Row],[Column14]]="",0,Table1[[#This Row],[h_hargasebelumdiskon]]*Table1[[#This Row],[Column14]]))</f>
        <v/>
      </c>
      <c r="AA235" s="237" t="str">
        <f>IF(Table1[[#This Row],[h_hargasebelumdiskon]]="","",IF(Table1[[#This Row],[Column15]]="",0,(Table1[[#This Row],[h_hargasebelumdiskon]]-Table1[[#This Row],[h_disc 1]])*Table1[[#This Row],[Column15]]))</f>
        <v/>
      </c>
      <c r="AB235" s="237" t="str">
        <f>IF(Table1[[#This Row],[Column12]]="","",Table1[[#This Row],[h_disc 1]]+Table1[[#This Row],[h_disc 2]])</f>
        <v/>
      </c>
      <c r="AC235" s="237" t="str">
        <f>IF(Table1[[#This Row],[Column12]]="","",Table1[[#This Row],[h_hargasebelumdiskon]]-Table1[[#This Row],[h_diskon]])</f>
        <v/>
      </c>
      <c r="AD235" s="237" t="str">
        <f ca="1">IF(Table1[[#This Row],[//]]="","",SUMIF(Table1[h_id],Table1[[#This Row],[h_id]],Table1[h_hargasetelahdiskon]))</f>
        <v/>
      </c>
      <c r="AF235" s="237" t="str">
        <f>Table1[[#This Row],[Column12]]&amp;Table1[[#This Row],[Unit]]&amp;Table1[[#This Row],[Column13]]</f>
        <v/>
      </c>
      <c r="AG235"/>
      <c r="AH235"/>
      <c r="AI235"/>
    </row>
    <row r="236" spans="1:35">
      <c r="A236" s="234" t="str">
        <f ca="1">IF(Table1[[#This Row],[No. Invoice :]]="","",ROW())</f>
        <v/>
      </c>
      <c r="B236" s="234" t="str">
        <f ca="1">IF(Table1[[#This Row],[Column3]]="","",B$1+COUNT(INDIRECT("B$2:B"&amp;ROW()-1)))</f>
        <v/>
      </c>
      <c r="C236" s="235" t="str">
        <f>IF(Table1[[#This Row],[Column2]]="","",Table1[[#This Row],[Column2]]+C$1-1)</f>
        <v/>
      </c>
      <c r="E236" s="236"/>
      <c r="F236" s="234"/>
      <c r="G236" s="234" t="str">
        <f ca="1">IF(Table1[[#This Row],[h_No. Invoice :]]="","",CONCATENATE("AM"," ",Table1[[#This Row],[h_No. Invoice :]]))</f>
        <v/>
      </c>
      <c r="H236" s="234" t="str">
        <f>IF(Table1[[#This Row],[Column5]]="","",INDEX(Table2[Column1],MATCH(Table1[[#This Row],[Column5]],Table2[a],0)))</f>
        <v/>
      </c>
      <c r="I236" s="234" t="str">
        <f>IF(Table1[[#This Row],[Column3]]=0,"",CONCATENATE(UPPER(Table1[[#This Row],[Column3]])," ",Table1[[#This Row],[Column4]]))</f>
        <v xml:space="preserve"> </v>
      </c>
      <c r="J236" s="234" t="str">
        <f>IF(Table1[[#This Row],[Column5]]="","",INDEX(Table2[e],IF(Table1[[#This Row],[Column5]]="","",MATCH(Table1[[#This Row],[Column5]],Table2[a],0)),))</f>
        <v/>
      </c>
      <c r="K236" s="234"/>
      <c r="L236" s="234"/>
      <c r="O236" s="234" t="str">
        <f>IF(Table1[[#This Row],[h_Item Description]]="","",INDEX([1]!db[NB PAJAK],MATCH(Table1[[#This Row],[h_Item Description]],[1]!db[kode],0)))</f>
        <v/>
      </c>
      <c r="Q236" s="237"/>
      <c r="R236" s="238"/>
      <c r="S236" s="238"/>
      <c r="T236" s="237" t="str">
        <f>Table1[[#This Row],[h_hargasetelahdiskon]]</f>
        <v/>
      </c>
      <c r="V236" s="234"/>
      <c r="W236" s="234" t="str">
        <f ca="1">IF(Table1[[#This Row],[Column12]]="","",IF(Table1[[#This Row],[//]]="",INDIRECT(ADDRESS(ROW()-1,COLUMN())),Table1[[#This Row],[//]]))</f>
        <v/>
      </c>
      <c r="X236" s="234" t="str">
        <f ca="1">IF(Table1[[#This Row],[h_id]]="","",COUNTIF(Table1[h_id],Table1[[#This Row],[h_id]]))</f>
        <v/>
      </c>
      <c r="Y236" s="237" t="str">
        <f>IF(Table1[[#This Row],[Column12]]="","",Table1[[#This Row],[Qty]]*Table1[[#This Row],[Column13]])</f>
        <v/>
      </c>
      <c r="Z236" s="237" t="str">
        <f>IF(Table1[[#This Row],[h_hargasebelumdiskon]]="","",IF(Table1[[#This Row],[Column14]]="",0,Table1[[#This Row],[h_hargasebelumdiskon]]*Table1[[#This Row],[Column14]]))</f>
        <v/>
      </c>
      <c r="AA236" s="237" t="str">
        <f>IF(Table1[[#This Row],[h_hargasebelumdiskon]]="","",IF(Table1[[#This Row],[Column15]]="",0,(Table1[[#This Row],[h_hargasebelumdiskon]]-Table1[[#This Row],[h_disc 1]])*Table1[[#This Row],[Column15]]))</f>
        <v/>
      </c>
      <c r="AB236" s="237" t="str">
        <f>IF(Table1[[#This Row],[Column12]]="","",Table1[[#This Row],[h_disc 1]]+Table1[[#This Row],[h_disc 2]])</f>
        <v/>
      </c>
      <c r="AC236" s="237" t="str">
        <f>IF(Table1[[#This Row],[Column12]]="","",Table1[[#This Row],[h_hargasebelumdiskon]]-Table1[[#This Row],[h_diskon]])</f>
        <v/>
      </c>
      <c r="AD236" s="237" t="str">
        <f ca="1">IF(Table1[[#This Row],[//]]="","",SUMIF(Table1[h_id],Table1[[#This Row],[h_id]],Table1[h_hargasetelahdiskon]))</f>
        <v/>
      </c>
      <c r="AF236" s="237" t="str">
        <f>Table1[[#This Row],[Column12]]&amp;Table1[[#This Row],[Unit]]&amp;Table1[[#This Row],[Column13]]</f>
        <v/>
      </c>
      <c r="AG236"/>
      <c r="AH236"/>
      <c r="AI236"/>
    </row>
    <row r="237" spans="1:35">
      <c r="A237" s="234" t="str">
        <f ca="1">IF(Table1[[#This Row],[No. Invoice :]]="","",ROW())</f>
        <v/>
      </c>
      <c r="B237" s="432" t="str">
        <f ca="1">IF(Table1[[#This Row],[Column3]]="","",B$1+COUNT(INDIRECT("B$2:B"&amp;ROW()-1)))</f>
        <v/>
      </c>
      <c r="C237" s="235" t="str">
        <f>IF(Table1[[#This Row],[Column2]]="","",Table1[[#This Row],[Column2]]+C$1-1)</f>
        <v/>
      </c>
      <c r="D237" s="433"/>
      <c r="E237" s="434"/>
      <c r="F237" s="432"/>
      <c r="G237" s="234" t="str">
        <f ca="1">IF(Table1[[#This Row],[h_No. Invoice :]]="","",CONCATENATE("AM"," ",Table1[[#This Row],[h_No. Invoice :]]))</f>
        <v/>
      </c>
      <c r="H237" s="432" t="str">
        <f>IF(Table1[[#This Row],[Column5]]="","",INDEX(Table2[Column1],MATCH(Table1[[#This Row],[Column5]],Table2[a],0)))</f>
        <v/>
      </c>
      <c r="I237" s="234" t="str">
        <f>IF(Table1[[#This Row],[Column3]]=0,"",CONCATENATE(UPPER(Table1[[#This Row],[Column3]])," ",Table1[[#This Row],[Column4]]))</f>
        <v xml:space="preserve"> </v>
      </c>
      <c r="J237" s="234" t="str">
        <f>IF(Table1[[#This Row],[Column5]]="","",INDEX(Table2[e],IF(Table1[[#This Row],[Column5]]="","",MATCH(Table1[[#This Row],[Column5]],Table2[a],0)),))</f>
        <v/>
      </c>
      <c r="K237" s="234"/>
      <c r="L237" s="234"/>
      <c r="N237" s="432"/>
      <c r="O237" s="432" t="str">
        <f>IF(Table1[[#This Row],[h_Item Description]]="","",INDEX([1]!db[NB PAJAK],MATCH(Table1[[#This Row],[h_Item Description]],[1]!db[kode],0)))</f>
        <v/>
      </c>
      <c r="Q237" s="237"/>
      <c r="R237" s="238"/>
      <c r="S237" s="238"/>
      <c r="T237" s="435" t="str">
        <f>Table1[[#This Row],[h_hargasetelahdiskon]]</f>
        <v/>
      </c>
      <c r="V237" s="234"/>
      <c r="W237" s="234" t="str">
        <f ca="1">IF(Table1[[#This Row],[Column12]]="","",IF(Table1[[#This Row],[//]]="",INDIRECT(ADDRESS(ROW()-1,COLUMN())),Table1[[#This Row],[//]]))</f>
        <v/>
      </c>
      <c r="X237" s="234" t="str">
        <f ca="1">IF(Table1[[#This Row],[h_id]]="","",COUNTIF(Table1[h_id],Table1[[#This Row],[h_id]]))</f>
        <v/>
      </c>
      <c r="Y237" s="237" t="str">
        <f>IF(Table1[[#This Row],[Column12]]="","",Table1[[#This Row],[Qty]]*Table1[[#This Row],[Column13]])</f>
        <v/>
      </c>
      <c r="Z237" s="435" t="str">
        <f>IF(Table1[[#This Row],[h_hargasebelumdiskon]]="","",IF(Table1[[#This Row],[Column14]]="",0,Table1[[#This Row],[h_hargasebelumdiskon]]*Table1[[#This Row],[Column14]]))</f>
        <v/>
      </c>
      <c r="AA237" s="435" t="str">
        <f>IF(Table1[[#This Row],[h_hargasebelumdiskon]]="","",IF(Table1[[#This Row],[Column15]]="",0,(Table1[[#This Row],[h_hargasebelumdiskon]]-Table1[[#This Row],[h_disc 1]])*Table1[[#This Row],[Column15]]))</f>
        <v/>
      </c>
      <c r="AB237" s="237" t="str">
        <f>IF(Table1[[#This Row],[Column12]]="","",Table1[[#This Row],[h_disc 1]]+Table1[[#This Row],[h_disc 2]])</f>
        <v/>
      </c>
      <c r="AC237" s="237" t="str">
        <f>IF(Table1[[#This Row],[Column12]]="","",Table1[[#This Row],[h_hargasebelumdiskon]]-Table1[[#This Row],[h_diskon]])</f>
        <v/>
      </c>
      <c r="AD237" s="237" t="str">
        <f ca="1">IF(Table1[[#This Row],[//]]="","",SUMIF(Table1[h_id],Table1[[#This Row],[h_id]],Table1[h_hargasetelahdiskon]))</f>
        <v/>
      </c>
      <c r="AF237" s="237" t="str">
        <f>Table1[[#This Row],[Column12]]&amp;Table1[[#This Row],[Unit]]&amp;Table1[[#This Row],[Column13]]</f>
        <v/>
      </c>
      <c r="AG237"/>
      <c r="AH237"/>
      <c r="AI237"/>
    </row>
    <row r="238" spans="1:35">
      <c r="A238" s="234" t="str">
        <f ca="1">IF(Table1[[#This Row],[No. Invoice :]]="","",ROW())</f>
        <v/>
      </c>
      <c r="B238" s="432" t="str">
        <f ca="1">IF(Table1[[#This Row],[Column3]]="","",B$1+COUNT(INDIRECT("B$2:B"&amp;ROW()-1)))</f>
        <v/>
      </c>
      <c r="C238" s="235" t="str">
        <f>IF(Table1[[#This Row],[Column2]]="","",Table1[[#This Row],[Column2]]+C$1-1)</f>
        <v/>
      </c>
      <c r="D238" s="433"/>
      <c r="E238" s="434"/>
      <c r="F238" s="432"/>
      <c r="G238" s="234" t="str">
        <f ca="1">IF(Table1[[#This Row],[h_No. Invoice :]]="","",CONCATENATE("AM"," ",Table1[[#This Row],[h_No. Invoice :]]))</f>
        <v/>
      </c>
      <c r="H238" s="432" t="str">
        <f>IF(Table1[[#This Row],[Column5]]="","",INDEX(Table2[Column1],MATCH(Table1[[#This Row],[Column5]],Table2[a],0)))</f>
        <v/>
      </c>
      <c r="I238" s="234" t="str">
        <f>IF(Table1[[#This Row],[Column3]]=0,"",CONCATENATE(UPPER(Table1[[#This Row],[Column3]])," ",Table1[[#This Row],[Column4]]))</f>
        <v xml:space="preserve"> </v>
      </c>
      <c r="J238" s="234" t="str">
        <f>IF(Table1[[#This Row],[Column5]]="","",INDEX(Table2[e],IF(Table1[[#This Row],[Column5]]="","",MATCH(Table1[[#This Row],[Column5]],Table2[a],0)),))</f>
        <v/>
      </c>
      <c r="K238" s="234"/>
      <c r="L238" s="234"/>
      <c r="N238" s="432"/>
      <c r="O238" s="432" t="str">
        <f>IF(Table1[[#This Row],[h_Item Description]]="","",INDEX([1]!db[NB PAJAK],MATCH(Table1[[#This Row],[h_Item Description]],[1]!db[kode],0)))</f>
        <v/>
      </c>
      <c r="Q238" s="237"/>
      <c r="R238" s="238"/>
      <c r="S238" s="238"/>
      <c r="T238" s="435" t="str">
        <f>Table1[[#This Row],[h_hargasetelahdiskon]]</f>
        <v/>
      </c>
      <c r="V238" s="234"/>
      <c r="W238" s="234" t="str">
        <f ca="1">IF(Table1[[#This Row],[Column12]]="","",IF(Table1[[#This Row],[//]]="",INDIRECT(ADDRESS(ROW()-1,COLUMN())),Table1[[#This Row],[//]]))</f>
        <v/>
      </c>
      <c r="X238" s="234" t="str">
        <f ca="1">IF(Table1[[#This Row],[h_id]]="","",COUNTIF(Table1[h_id],Table1[[#This Row],[h_id]]))</f>
        <v/>
      </c>
      <c r="Y238" s="237" t="str">
        <f>IF(Table1[[#This Row],[Column12]]="","",Table1[[#This Row],[Qty]]*Table1[[#This Row],[Column13]])</f>
        <v/>
      </c>
      <c r="Z238" s="435" t="str">
        <f>IF(Table1[[#This Row],[h_hargasebelumdiskon]]="","",IF(Table1[[#This Row],[Column14]]="",0,Table1[[#This Row],[h_hargasebelumdiskon]]*Table1[[#This Row],[Column14]]))</f>
        <v/>
      </c>
      <c r="AA238" s="435" t="str">
        <f>IF(Table1[[#This Row],[h_hargasebelumdiskon]]="","",IF(Table1[[#This Row],[Column15]]="",0,(Table1[[#This Row],[h_hargasebelumdiskon]]-Table1[[#This Row],[h_disc 1]])*Table1[[#This Row],[Column15]]))</f>
        <v/>
      </c>
      <c r="AB238" s="237" t="str">
        <f>IF(Table1[[#This Row],[Column12]]="","",Table1[[#This Row],[h_disc 1]]+Table1[[#This Row],[h_disc 2]])</f>
        <v/>
      </c>
      <c r="AC238" s="237" t="str">
        <f>IF(Table1[[#This Row],[Column12]]="","",Table1[[#This Row],[h_hargasebelumdiskon]]-Table1[[#This Row],[h_diskon]])</f>
        <v/>
      </c>
      <c r="AD238" s="237" t="str">
        <f ca="1">IF(Table1[[#This Row],[//]]="","",SUMIF(Table1[h_id],Table1[[#This Row],[h_id]],Table1[h_hargasetelahdiskon]))</f>
        <v/>
      </c>
      <c r="AF238" s="237" t="str">
        <f>Table1[[#This Row],[Column12]]&amp;Table1[[#This Row],[Unit]]&amp;Table1[[#This Row],[Column13]]</f>
        <v/>
      </c>
      <c r="AG238"/>
      <c r="AH238"/>
      <c r="AI238"/>
    </row>
    <row r="239" spans="1:35">
      <c r="A239" s="234" t="str">
        <f ca="1">IF(Table1[[#This Row],[No. Invoice :]]="","",ROW())</f>
        <v/>
      </c>
      <c r="B239" s="432" t="str">
        <f ca="1">IF(Table1[[#This Row],[Column3]]="","",B$1+COUNT(INDIRECT("B$2:B"&amp;ROW()-1)))</f>
        <v/>
      </c>
      <c r="C239" s="235" t="str">
        <f>IF(Table1[[#This Row],[Column2]]="","",Table1[[#This Row],[Column2]]+C$1-1)</f>
        <v/>
      </c>
      <c r="D239" s="433"/>
      <c r="E239" s="434"/>
      <c r="F239" s="432"/>
      <c r="G239" s="234" t="str">
        <f ca="1">IF(Table1[[#This Row],[h_No. Invoice :]]="","",CONCATENATE("AM"," ",Table1[[#This Row],[h_No. Invoice :]]))</f>
        <v/>
      </c>
      <c r="H239" s="432" t="str">
        <f>IF(Table1[[#This Row],[Column5]]="","",INDEX(Table2[Column1],MATCH(Table1[[#This Row],[Column5]],Table2[a],0)))</f>
        <v/>
      </c>
      <c r="I239" s="234" t="str">
        <f>IF(Table1[[#This Row],[Column3]]=0,"",CONCATENATE(UPPER(Table1[[#This Row],[Column3]])," ",Table1[[#This Row],[Column4]]))</f>
        <v xml:space="preserve"> </v>
      </c>
      <c r="J239" s="234" t="str">
        <f>IF(Table1[[#This Row],[Column5]]="","",INDEX(Table2[e],IF(Table1[[#This Row],[Column5]]="","",MATCH(Table1[[#This Row],[Column5]],Table2[a],0)),))</f>
        <v/>
      </c>
      <c r="K239" s="234"/>
      <c r="L239" s="234"/>
      <c r="N239" s="432"/>
      <c r="O239" s="432" t="str">
        <f>IF(Table1[[#This Row],[h_Item Description]]="","",INDEX([1]!db[NB PAJAK],MATCH(Table1[[#This Row],[h_Item Description]],[1]!db[kode],0)))</f>
        <v/>
      </c>
      <c r="Q239" s="237"/>
      <c r="R239" s="238"/>
      <c r="S239" s="238"/>
      <c r="T239" s="435" t="str">
        <f>Table1[[#This Row],[h_hargasetelahdiskon]]</f>
        <v/>
      </c>
      <c r="V239" s="234"/>
      <c r="W239" s="234" t="str">
        <f ca="1">IF(Table1[[#This Row],[Column12]]="","",IF(Table1[[#This Row],[//]]="",INDIRECT(ADDRESS(ROW()-1,COLUMN())),Table1[[#This Row],[//]]))</f>
        <v/>
      </c>
      <c r="X239" s="234" t="str">
        <f ca="1">IF(Table1[[#This Row],[h_id]]="","",COUNTIF(Table1[h_id],Table1[[#This Row],[h_id]]))</f>
        <v/>
      </c>
      <c r="Y239" s="237" t="str">
        <f>IF(Table1[[#This Row],[Column12]]="","",Table1[[#This Row],[Qty]]*Table1[[#This Row],[Column13]])</f>
        <v/>
      </c>
      <c r="Z239" s="435" t="str">
        <f>IF(Table1[[#This Row],[h_hargasebelumdiskon]]="","",IF(Table1[[#This Row],[Column14]]="",0,Table1[[#This Row],[h_hargasebelumdiskon]]*Table1[[#This Row],[Column14]]))</f>
        <v/>
      </c>
      <c r="AA239" s="435" t="str">
        <f>IF(Table1[[#This Row],[h_hargasebelumdiskon]]="","",IF(Table1[[#This Row],[Column15]]="",0,(Table1[[#This Row],[h_hargasebelumdiskon]]-Table1[[#This Row],[h_disc 1]])*Table1[[#This Row],[Column15]]))</f>
        <v/>
      </c>
      <c r="AB239" s="237" t="str">
        <f>IF(Table1[[#This Row],[Column12]]="","",Table1[[#This Row],[h_disc 1]]+Table1[[#This Row],[h_disc 2]])</f>
        <v/>
      </c>
      <c r="AC239" s="237" t="str">
        <f>IF(Table1[[#This Row],[Column12]]="","",Table1[[#This Row],[h_hargasebelumdiskon]]-Table1[[#This Row],[h_diskon]])</f>
        <v/>
      </c>
      <c r="AD239" s="237" t="str">
        <f ca="1">IF(Table1[[#This Row],[//]]="","",SUMIF(Table1[h_id],Table1[[#This Row],[h_id]],Table1[h_hargasetelahdiskon]))</f>
        <v/>
      </c>
      <c r="AF239" s="237" t="str">
        <f>Table1[[#This Row],[Column12]]&amp;Table1[[#This Row],[Unit]]&amp;Table1[[#This Row],[Column13]]</f>
        <v/>
      </c>
      <c r="AG239"/>
      <c r="AH239"/>
      <c r="AI239"/>
    </row>
    <row r="240" spans="1:35">
      <c r="A240" s="234" t="str">
        <f ca="1">IF(Table1[[#This Row],[No. Invoice :]]="","",ROW())</f>
        <v/>
      </c>
      <c r="B240" s="234" t="str">
        <f ca="1">IF(Table1[[#This Row],[Column3]]="","",B$1+COUNT(INDIRECT("B$2:B"&amp;ROW()-1)))</f>
        <v/>
      </c>
      <c r="C240" s="235" t="str">
        <f>IF(Table1[[#This Row],[Column2]]="","",Table1[[#This Row],[Column2]]+C$1-1)</f>
        <v/>
      </c>
      <c r="E240" s="236"/>
      <c r="F240" s="234"/>
      <c r="G240" s="234" t="str">
        <f ca="1">IF(Table1[[#This Row],[h_No. Invoice :]]="","",CONCATENATE("AM"," ",Table1[[#This Row],[h_No. Invoice :]]))</f>
        <v/>
      </c>
      <c r="H240" s="234" t="str">
        <f>IF(Table1[[#This Row],[Column5]]="","",INDEX(Table2[Column1],MATCH(Table1[[#This Row],[Column5]],Table2[a],0)))</f>
        <v/>
      </c>
      <c r="I240" s="234" t="str">
        <f>IF(Table1[[#This Row],[Column3]]=0,"",CONCATENATE(UPPER(Table1[[#This Row],[Column3]])," ",Table1[[#This Row],[Column4]]))</f>
        <v xml:space="preserve"> </v>
      </c>
      <c r="J240" s="234" t="str">
        <f>IF(Table1[[#This Row],[Column5]]="","",INDEX(Table2[e],IF(Table1[[#This Row],[Column5]]="","",MATCH(Table1[[#This Row],[Column5]],Table2[a],0)),))</f>
        <v/>
      </c>
      <c r="K240" s="234"/>
      <c r="L240" s="234"/>
      <c r="O240" s="234" t="str">
        <f>IF(Table1[[#This Row],[h_Item Description]]="","",INDEX([1]!db[NB PAJAK],MATCH(Table1[[#This Row],[h_Item Description]],[1]!db[kode],0)))</f>
        <v/>
      </c>
      <c r="Q240" s="237"/>
      <c r="R240" s="238"/>
      <c r="S240" s="238"/>
      <c r="T240" s="237" t="str">
        <f>Table1[[#This Row],[h_hargasetelahdiskon]]</f>
        <v/>
      </c>
      <c r="V240" s="234"/>
      <c r="W240" s="234" t="str">
        <f ca="1">IF(Table1[[#This Row],[Column12]]="","",IF(Table1[[#This Row],[//]]="",INDIRECT(ADDRESS(ROW()-1,COLUMN())),Table1[[#This Row],[//]]))</f>
        <v/>
      </c>
      <c r="X240" s="234" t="str">
        <f ca="1">IF(Table1[[#This Row],[h_id]]="","",COUNTIF(Table1[h_id],Table1[[#This Row],[h_id]]))</f>
        <v/>
      </c>
      <c r="Y240" s="237" t="str">
        <f>IF(Table1[[#This Row],[Column12]]="","",Table1[[#This Row],[Qty]]*Table1[[#This Row],[Column13]])</f>
        <v/>
      </c>
      <c r="Z240" s="237" t="str">
        <f>IF(Table1[[#This Row],[h_hargasebelumdiskon]]="","",IF(Table1[[#This Row],[Column14]]="",0,Table1[[#This Row],[h_hargasebelumdiskon]]*Table1[[#This Row],[Column14]]))</f>
        <v/>
      </c>
      <c r="AA240" s="237" t="str">
        <f>IF(Table1[[#This Row],[h_hargasebelumdiskon]]="","",IF(Table1[[#This Row],[Column15]]="",0,(Table1[[#This Row],[h_hargasebelumdiskon]]-Table1[[#This Row],[h_disc 1]])*Table1[[#This Row],[Column15]]))</f>
        <v/>
      </c>
      <c r="AB240" s="237" t="str">
        <f>IF(Table1[[#This Row],[Column12]]="","",Table1[[#This Row],[h_disc 1]]+Table1[[#This Row],[h_disc 2]])</f>
        <v/>
      </c>
      <c r="AC240" s="237" t="str">
        <f>IF(Table1[[#This Row],[Column12]]="","",Table1[[#This Row],[h_hargasebelumdiskon]]-Table1[[#This Row],[h_diskon]])</f>
        <v/>
      </c>
      <c r="AD240" s="237" t="str">
        <f ca="1">IF(Table1[[#This Row],[//]]="","",SUMIF(Table1[h_id],Table1[[#This Row],[h_id]],Table1[h_hargasetelahdiskon]))</f>
        <v/>
      </c>
      <c r="AF240" s="237" t="str">
        <f>Table1[[#This Row],[Column12]]&amp;Table1[[#This Row],[Unit]]&amp;Table1[[#This Row],[Column13]]</f>
        <v/>
      </c>
      <c r="AG240"/>
      <c r="AH240"/>
      <c r="AI240"/>
    </row>
    <row r="241" spans="1:35">
      <c r="A241" s="234" t="str">
        <f ca="1">IF(Table1[[#This Row],[No. Invoice :]]="","",ROW())</f>
        <v/>
      </c>
      <c r="B241" s="234" t="str">
        <f ca="1">IF(Table1[[#This Row],[Column3]]="","",B$1+COUNT(INDIRECT("B$2:B"&amp;ROW()-1)))</f>
        <v/>
      </c>
      <c r="C241" s="235" t="str">
        <f>IF(Table1[[#This Row],[Column2]]="","",Table1[[#This Row],[Column2]]+C$1-1)</f>
        <v/>
      </c>
      <c r="E241" s="236"/>
      <c r="F241" s="234"/>
      <c r="G241" s="234" t="str">
        <f ca="1">IF(Table1[[#This Row],[h_No. Invoice :]]="","",CONCATENATE("AM"," ",Table1[[#This Row],[h_No. Invoice :]]))</f>
        <v/>
      </c>
      <c r="H241" s="234" t="str">
        <f>IF(Table1[[#This Row],[Column5]]="","",INDEX(Table2[Column1],MATCH(Table1[[#This Row],[Column5]],Table2[a],0)))</f>
        <v/>
      </c>
      <c r="I241" s="234" t="str">
        <f>IF(Table1[[#This Row],[Column3]]=0,"",CONCATENATE(UPPER(Table1[[#This Row],[Column3]])," ",Table1[[#This Row],[Column4]]))</f>
        <v xml:space="preserve"> </v>
      </c>
      <c r="J241" s="234" t="str">
        <f>IF(Table1[[#This Row],[Column5]]="","",INDEX(Table2[e],IF(Table1[[#This Row],[Column5]]="","",MATCH(Table1[[#This Row],[Column5]],Table2[a],0)),))</f>
        <v/>
      </c>
      <c r="K241" s="234"/>
      <c r="L241" s="234"/>
      <c r="O241" s="234" t="str">
        <f>IF(Table1[[#This Row],[h_Item Description]]="","",INDEX([1]!db[NB PAJAK],MATCH(Table1[[#This Row],[h_Item Description]],[1]!db[kode],0)))</f>
        <v/>
      </c>
      <c r="Q241" s="237"/>
      <c r="R241" s="238"/>
      <c r="S241" s="238"/>
      <c r="T241" s="237" t="str">
        <f>Table1[[#This Row],[h_hargasetelahdiskon]]</f>
        <v/>
      </c>
      <c r="V241" s="234"/>
      <c r="W241" s="234" t="str">
        <f ca="1">IF(Table1[[#This Row],[Column12]]="","",IF(Table1[[#This Row],[//]]="",INDIRECT(ADDRESS(ROW()-1,COLUMN())),Table1[[#This Row],[//]]))</f>
        <v/>
      </c>
      <c r="X241" s="234" t="str">
        <f ca="1">IF(Table1[[#This Row],[h_id]]="","",COUNTIF(Table1[h_id],Table1[[#This Row],[h_id]]))</f>
        <v/>
      </c>
      <c r="Y241" s="237" t="str">
        <f>IF(Table1[[#This Row],[Column12]]="","",Table1[[#This Row],[Qty]]*Table1[[#This Row],[Column13]])</f>
        <v/>
      </c>
      <c r="Z241" s="237" t="str">
        <f>IF(Table1[[#This Row],[h_hargasebelumdiskon]]="","",IF(Table1[[#This Row],[Column14]]="",0,Table1[[#This Row],[h_hargasebelumdiskon]]*Table1[[#This Row],[Column14]]))</f>
        <v/>
      </c>
      <c r="AA241" s="237" t="str">
        <f>IF(Table1[[#This Row],[h_hargasebelumdiskon]]="","",IF(Table1[[#This Row],[Column15]]="",0,(Table1[[#This Row],[h_hargasebelumdiskon]]-Table1[[#This Row],[h_disc 1]])*Table1[[#This Row],[Column15]]))</f>
        <v/>
      </c>
      <c r="AB241" s="237" t="str">
        <f>IF(Table1[[#This Row],[Column12]]="","",Table1[[#This Row],[h_disc 1]]+Table1[[#This Row],[h_disc 2]])</f>
        <v/>
      </c>
      <c r="AC241" s="237" t="str">
        <f>IF(Table1[[#This Row],[Column12]]="","",Table1[[#This Row],[h_hargasebelumdiskon]]-Table1[[#This Row],[h_diskon]])</f>
        <v/>
      </c>
      <c r="AD241" s="237" t="str">
        <f ca="1">IF(Table1[[#This Row],[//]]="","",SUMIF(Table1[h_id],Table1[[#This Row],[h_id]],Table1[h_hargasetelahdiskon]))</f>
        <v/>
      </c>
      <c r="AF241" s="237" t="str">
        <f>Table1[[#This Row],[Column12]]&amp;Table1[[#This Row],[Unit]]&amp;Table1[[#This Row],[Column13]]</f>
        <v/>
      </c>
      <c r="AG241"/>
      <c r="AH241"/>
      <c r="AI241"/>
    </row>
    <row r="242" spans="1:35">
      <c r="A242" s="234" t="str">
        <f ca="1">IF(Table1[[#This Row],[No. Invoice :]]="","",ROW())</f>
        <v/>
      </c>
      <c r="B242" s="234" t="str">
        <f ca="1">IF(Table1[[#This Row],[Column3]]="","",B$1+COUNT(INDIRECT("B$2:B"&amp;ROW()-1)))</f>
        <v/>
      </c>
      <c r="C242" s="235" t="str">
        <f>IF(Table1[[#This Row],[Column2]]="","",Table1[[#This Row],[Column2]]+C$1-1)</f>
        <v/>
      </c>
      <c r="E242" s="236"/>
      <c r="F242" s="234"/>
      <c r="G242" s="234" t="str">
        <f ca="1">IF(Table1[[#This Row],[h_No. Invoice :]]="","",CONCATENATE("AM"," ",Table1[[#This Row],[h_No. Invoice :]]))</f>
        <v/>
      </c>
      <c r="H242" s="234" t="str">
        <f>IF(Table1[[#This Row],[Column5]]="","",INDEX(Table2[Column1],MATCH(Table1[[#This Row],[Column5]],Table2[a],0)))</f>
        <v/>
      </c>
      <c r="I242" s="234" t="str">
        <f>IF(Table1[[#This Row],[Column3]]=0,"",CONCATENATE(UPPER(Table1[[#This Row],[Column3]])," ",Table1[[#This Row],[Column4]]))</f>
        <v xml:space="preserve"> </v>
      </c>
      <c r="J242" s="234" t="str">
        <f>IF(Table1[[#This Row],[Column5]]="","",INDEX(Table2[e],IF(Table1[[#This Row],[Column5]]="","",MATCH(Table1[[#This Row],[Column5]],Table2[a],0)),))</f>
        <v/>
      </c>
      <c r="K242" s="234"/>
      <c r="L242" s="234"/>
      <c r="O242" s="234" t="str">
        <f>IF(Table1[[#This Row],[h_Item Description]]="","",INDEX([1]!db[NB PAJAK],MATCH(Table1[[#This Row],[h_Item Description]],[1]!db[kode],0)))</f>
        <v/>
      </c>
      <c r="Q242" s="237"/>
      <c r="R242" s="238"/>
      <c r="S242" s="238"/>
      <c r="T242" s="237" t="str">
        <f>Table1[[#This Row],[h_hargasetelahdiskon]]</f>
        <v/>
      </c>
      <c r="V242" s="234"/>
      <c r="W242" s="234" t="str">
        <f ca="1">IF(Table1[[#This Row],[Column12]]="","",IF(Table1[[#This Row],[//]]="",INDIRECT(ADDRESS(ROW()-1,COLUMN())),Table1[[#This Row],[//]]))</f>
        <v/>
      </c>
      <c r="X242" s="234" t="str">
        <f ca="1">IF(Table1[[#This Row],[h_id]]="","",COUNTIF(Table1[h_id],Table1[[#This Row],[h_id]]))</f>
        <v/>
      </c>
      <c r="Y242" s="237" t="str">
        <f>IF(Table1[[#This Row],[Column12]]="","",Table1[[#This Row],[Qty]]*Table1[[#This Row],[Column13]])</f>
        <v/>
      </c>
      <c r="Z242" s="237" t="str">
        <f>IF(Table1[[#This Row],[h_hargasebelumdiskon]]="","",IF(Table1[[#This Row],[Column14]]="",0,Table1[[#This Row],[h_hargasebelumdiskon]]*Table1[[#This Row],[Column14]]))</f>
        <v/>
      </c>
      <c r="AA242" s="237" t="str">
        <f>IF(Table1[[#This Row],[h_hargasebelumdiskon]]="","",IF(Table1[[#This Row],[Column15]]="",0,(Table1[[#This Row],[h_hargasebelumdiskon]]-Table1[[#This Row],[h_disc 1]])*Table1[[#This Row],[Column15]]))</f>
        <v/>
      </c>
      <c r="AB242" s="237" t="str">
        <f>IF(Table1[[#This Row],[Column12]]="","",Table1[[#This Row],[h_disc 1]]+Table1[[#This Row],[h_disc 2]])</f>
        <v/>
      </c>
      <c r="AC242" s="237" t="str">
        <f>IF(Table1[[#This Row],[Column12]]="","",Table1[[#This Row],[h_hargasebelumdiskon]]-Table1[[#This Row],[h_diskon]])</f>
        <v/>
      </c>
      <c r="AD242" s="237" t="str">
        <f ca="1">IF(Table1[[#This Row],[//]]="","",SUMIF(Table1[h_id],Table1[[#This Row],[h_id]],Table1[h_hargasetelahdiskon]))</f>
        <v/>
      </c>
      <c r="AF242" s="237" t="str">
        <f>Table1[[#This Row],[Column12]]&amp;Table1[[#This Row],[Unit]]&amp;Table1[[#This Row],[Column13]]</f>
        <v/>
      </c>
      <c r="AG242"/>
      <c r="AH242"/>
      <c r="AI242"/>
    </row>
    <row r="243" spans="1:35">
      <c r="A243" s="234" t="str">
        <f ca="1">IF(Table1[[#This Row],[No. Invoice :]]="","",ROW())</f>
        <v/>
      </c>
      <c r="B243" s="234" t="str">
        <f ca="1">IF(Table1[[#This Row],[Column3]]="","",B$1+COUNT(INDIRECT("B$2:B"&amp;ROW()-1)))</f>
        <v/>
      </c>
      <c r="C243" s="235" t="str">
        <f>IF(Table1[[#This Row],[Column2]]="","",Table1[[#This Row],[Column2]]+C$1-1)</f>
        <v/>
      </c>
      <c r="E243" s="236"/>
      <c r="F243" s="234"/>
      <c r="G243" s="234" t="str">
        <f ca="1">IF(Table1[[#This Row],[h_No. Invoice :]]="","",CONCATENATE("AM"," ",Table1[[#This Row],[h_No. Invoice :]]))</f>
        <v/>
      </c>
      <c r="H243" s="234" t="str">
        <f>IF(Table1[[#This Row],[Column5]]="","",INDEX(Table2[Column1],MATCH(Table1[[#This Row],[Column5]],Table2[a],0)))</f>
        <v/>
      </c>
      <c r="I243" s="234" t="str">
        <f>IF(Table1[[#This Row],[Column3]]=0,"",CONCATENATE(UPPER(Table1[[#This Row],[Column3]])," ",Table1[[#This Row],[Column4]]))</f>
        <v xml:space="preserve"> </v>
      </c>
      <c r="J243" s="234" t="str">
        <f>IF(Table1[[#This Row],[Column5]]="","",INDEX(Table2[e],IF(Table1[[#This Row],[Column5]]="","",MATCH(Table1[[#This Row],[Column5]],Table2[a],0)),))</f>
        <v/>
      </c>
      <c r="K243" s="234"/>
      <c r="L243" s="234"/>
      <c r="O243" s="234" t="str">
        <f>IF(Table1[[#This Row],[h_Item Description]]="","",INDEX([1]!db[NB PAJAK],MATCH(Table1[[#This Row],[h_Item Description]],[1]!db[kode],0)))</f>
        <v/>
      </c>
      <c r="Q243" s="237"/>
      <c r="R243" s="238"/>
      <c r="S243" s="238"/>
      <c r="T243" s="237" t="str">
        <f>Table1[[#This Row],[h_hargasetelahdiskon]]</f>
        <v/>
      </c>
      <c r="V243" s="234"/>
      <c r="W243" s="234" t="str">
        <f ca="1">IF(Table1[[#This Row],[Column12]]="","",IF(Table1[[#This Row],[//]]="",INDIRECT(ADDRESS(ROW()-1,COLUMN())),Table1[[#This Row],[//]]))</f>
        <v/>
      </c>
      <c r="X243" s="234" t="str">
        <f ca="1">IF(Table1[[#This Row],[h_id]]="","",COUNTIF(Table1[h_id],Table1[[#This Row],[h_id]]))</f>
        <v/>
      </c>
      <c r="Y243" s="237" t="str">
        <f>IF(Table1[[#This Row],[Column12]]="","",Table1[[#This Row],[Qty]]*Table1[[#This Row],[Column13]])</f>
        <v/>
      </c>
      <c r="Z243" s="237" t="str">
        <f>IF(Table1[[#This Row],[h_hargasebelumdiskon]]="","",IF(Table1[[#This Row],[Column14]]="",0,Table1[[#This Row],[h_hargasebelumdiskon]]*Table1[[#This Row],[Column14]]))</f>
        <v/>
      </c>
      <c r="AA243" s="237" t="str">
        <f>IF(Table1[[#This Row],[h_hargasebelumdiskon]]="","",IF(Table1[[#This Row],[Column15]]="",0,(Table1[[#This Row],[h_hargasebelumdiskon]]-Table1[[#This Row],[h_disc 1]])*Table1[[#This Row],[Column15]]))</f>
        <v/>
      </c>
      <c r="AB243" s="237" t="str">
        <f>IF(Table1[[#This Row],[Column12]]="","",Table1[[#This Row],[h_disc 1]]+Table1[[#This Row],[h_disc 2]])</f>
        <v/>
      </c>
      <c r="AC243" s="237" t="str">
        <f>IF(Table1[[#This Row],[Column12]]="","",Table1[[#This Row],[h_hargasebelumdiskon]]-Table1[[#This Row],[h_diskon]])</f>
        <v/>
      </c>
      <c r="AD243" s="237" t="str">
        <f ca="1">IF(Table1[[#This Row],[//]]="","",SUMIF(Table1[h_id],Table1[[#This Row],[h_id]],Table1[h_hargasetelahdiskon]))</f>
        <v/>
      </c>
      <c r="AF243" s="237" t="str">
        <f>Table1[[#This Row],[Column12]]&amp;Table1[[#This Row],[Unit]]&amp;Table1[[#This Row],[Column13]]</f>
        <v/>
      </c>
      <c r="AG243"/>
      <c r="AH243"/>
      <c r="AI243"/>
    </row>
    <row r="244" spans="1:35">
      <c r="A244" s="234" t="str">
        <f ca="1">IF(Table1[[#This Row],[No. Invoice :]]="","",ROW())</f>
        <v/>
      </c>
      <c r="B244" s="234" t="str">
        <f ca="1">IF(Table1[[#This Row],[Column3]]="","",B$1+COUNT(INDIRECT("B$2:B"&amp;ROW()-1)))</f>
        <v/>
      </c>
      <c r="C244" s="235" t="str">
        <f>IF(Table1[[#This Row],[Column2]]="","",Table1[[#This Row],[Column2]]+C$1-1)</f>
        <v/>
      </c>
      <c r="E244" s="236"/>
      <c r="F244" s="234"/>
      <c r="G244" s="234" t="str">
        <f ca="1">IF(Table1[[#This Row],[h_No. Invoice :]]="","",CONCATENATE("AM"," ",Table1[[#This Row],[h_No. Invoice :]]))</f>
        <v/>
      </c>
      <c r="H244" s="234" t="str">
        <f>IF(Table1[[#This Row],[Column5]]="","",INDEX(Table2[Column1],MATCH(Table1[[#This Row],[Column5]],Table2[a],0)))</f>
        <v/>
      </c>
      <c r="I244" s="234" t="str">
        <f>IF(Table1[[#This Row],[Column3]]=0,"",CONCATENATE(UPPER(Table1[[#This Row],[Column3]])," ",Table1[[#This Row],[Column4]]))</f>
        <v xml:space="preserve"> </v>
      </c>
      <c r="J244" s="234" t="str">
        <f>IF(Table1[[#This Row],[Column5]]="","",INDEX(Table2[e],IF(Table1[[#This Row],[Column5]]="","",MATCH(Table1[[#This Row],[Column5]],Table2[a],0)),))</f>
        <v/>
      </c>
      <c r="K244" s="234"/>
      <c r="L244" s="234"/>
      <c r="O244" s="234" t="str">
        <f>IF(Table1[[#This Row],[h_Item Description]]="","",INDEX([1]!db[NB PAJAK],MATCH(Table1[[#This Row],[h_Item Description]],[1]!db[kode],0)))</f>
        <v/>
      </c>
      <c r="Q244" s="237"/>
      <c r="R244" s="238"/>
      <c r="S244" s="238"/>
      <c r="T244" s="237" t="str">
        <f>Table1[[#This Row],[h_hargasetelahdiskon]]</f>
        <v/>
      </c>
      <c r="V244" s="234"/>
      <c r="W244" s="234" t="str">
        <f ca="1">IF(Table1[[#This Row],[Column12]]="","",IF(Table1[[#This Row],[//]]="",INDIRECT(ADDRESS(ROW()-1,COLUMN())),Table1[[#This Row],[//]]))</f>
        <v/>
      </c>
      <c r="X244" s="234" t="str">
        <f ca="1">IF(Table1[[#This Row],[h_id]]="","",COUNTIF(Table1[h_id],Table1[[#This Row],[h_id]]))</f>
        <v/>
      </c>
      <c r="Y244" s="237" t="str">
        <f>IF(Table1[[#This Row],[Column12]]="","",Table1[[#This Row],[Qty]]*Table1[[#This Row],[Column13]])</f>
        <v/>
      </c>
      <c r="Z244" s="237" t="str">
        <f>IF(Table1[[#This Row],[h_hargasebelumdiskon]]="","",IF(Table1[[#This Row],[Column14]]="",0,Table1[[#This Row],[h_hargasebelumdiskon]]*Table1[[#This Row],[Column14]]))</f>
        <v/>
      </c>
      <c r="AA244" s="237" t="str">
        <f>IF(Table1[[#This Row],[h_hargasebelumdiskon]]="","",IF(Table1[[#This Row],[Column15]]="",0,(Table1[[#This Row],[h_hargasebelumdiskon]]-Table1[[#This Row],[h_disc 1]])*Table1[[#This Row],[Column15]]))</f>
        <v/>
      </c>
      <c r="AB244" s="237" t="str">
        <f>IF(Table1[[#This Row],[Column12]]="","",Table1[[#This Row],[h_disc 1]]+Table1[[#This Row],[h_disc 2]])</f>
        <v/>
      </c>
      <c r="AC244" s="237" t="str">
        <f>IF(Table1[[#This Row],[Column12]]="","",Table1[[#This Row],[h_hargasebelumdiskon]]-Table1[[#This Row],[h_diskon]])</f>
        <v/>
      </c>
      <c r="AD244" s="237" t="str">
        <f ca="1">IF(Table1[[#This Row],[//]]="","",SUMIF(Table1[h_id],Table1[[#This Row],[h_id]],Table1[h_hargasetelahdiskon]))</f>
        <v/>
      </c>
      <c r="AF244" s="237" t="str">
        <f>Table1[[#This Row],[Column12]]&amp;Table1[[#This Row],[Unit]]&amp;Table1[[#This Row],[Column13]]</f>
        <v/>
      </c>
      <c r="AG244"/>
      <c r="AH244"/>
      <c r="AI244"/>
    </row>
    <row r="245" spans="1:35">
      <c r="A245" s="234" t="str">
        <f ca="1">IF(Table1[[#This Row],[No. Invoice :]]="","",ROW())</f>
        <v/>
      </c>
      <c r="B245" s="234" t="str">
        <f ca="1">IF(Table1[[#This Row],[Column3]]="","",B$1+COUNT(INDIRECT("B$2:B"&amp;ROW()-1)))</f>
        <v/>
      </c>
      <c r="C245" s="235" t="str">
        <f>IF(Table1[[#This Row],[Column2]]="","",Table1[[#This Row],[Column2]]+C$1-1)</f>
        <v/>
      </c>
      <c r="E245" s="236"/>
      <c r="F245" s="234"/>
      <c r="G245" s="234" t="str">
        <f ca="1">IF(Table1[[#This Row],[h_No. Invoice :]]="","",CONCATENATE("AM"," ",Table1[[#This Row],[h_No. Invoice :]]))</f>
        <v/>
      </c>
      <c r="H245" s="234" t="str">
        <f>IF(Table1[[#This Row],[Column5]]="","",INDEX(Table2[Column1],MATCH(Table1[[#This Row],[Column5]],Table2[a],0)))</f>
        <v/>
      </c>
      <c r="I245" s="234" t="str">
        <f>IF(Table1[[#This Row],[Column3]]=0,"",CONCATENATE(UPPER(Table1[[#This Row],[Column3]])," ",Table1[[#This Row],[Column4]]))</f>
        <v xml:space="preserve"> </v>
      </c>
      <c r="J245" s="234" t="str">
        <f>IF(Table1[[#This Row],[Column5]]="","",INDEX(Table2[e],IF(Table1[[#This Row],[Column5]]="","",MATCH(Table1[[#This Row],[Column5]],Table2[a],0)),))</f>
        <v/>
      </c>
      <c r="K245" s="234"/>
      <c r="L245" s="234"/>
      <c r="O245" s="234" t="str">
        <f>IF(Table1[[#This Row],[h_Item Description]]="","",INDEX([1]!db[NB PAJAK],MATCH(Table1[[#This Row],[h_Item Description]],[1]!db[kode],0)))</f>
        <v/>
      </c>
      <c r="Q245" s="237"/>
      <c r="R245" s="238"/>
      <c r="S245" s="238"/>
      <c r="T245" s="237" t="str">
        <f>Table1[[#This Row],[h_hargasetelahdiskon]]</f>
        <v/>
      </c>
      <c r="V245" s="234"/>
      <c r="W245" s="234" t="str">
        <f ca="1">IF(Table1[[#This Row],[Column12]]="","",IF(Table1[[#This Row],[//]]="",INDIRECT(ADDRESS(ROW()-1,COLUMN())),Table1[[#This Row],[//]]))</f>
        <v/>
      </c>
      <c r="X245" s="234" t="str">
        <f ca="1">IF(Table1[[#This Row],[h_id]]="","",COUNTIF(Table1[h_id],Table1[[#This Row],[h_id]]))</f>
        <v/>
      </c>
      <c r="Y245" s="237" t="str">
        <f>IF(Table1[[#This Row],[Column12]]="","",Table1[[#This Row],[Qty]]*Table1[[#This Row],[Column13]])</f>
        <v/>
      </c>
      <c r="Z245" s="237" t="str">
        <f>IF(Table1[[#This Row],[h_hargasebelumdiskon]]="","",IF(Table1[[#This Row],[Column14]]="",0,Table1[[#This Row],[h_hargasebelumdiskon]]*Table1[[#This Row],[Column14]]))</f>
        <v/>
      </c>
      <c r="AA245" s="237" t="str">
        <f>IF(Table1[[#This Row],[h_hargasebelumdiskon]]="","",IF(Table1[[#This Row],[Column15]]="",0,(Table1[[#This Row],[h_hargasebelumdiskon]]-Table1[[#This Row],[h_disc 1]])*Table1[[#This Row],[Column15]]))</f>
        <v/>
      </c>
      <c r="AB245" s="237" t="str">
        <f>IF(Table1[[#This Row],[Column12]]="","",Table1[[#This Row],[h_disc 1]]+Table1[[#This Row],[h_disc 2]])</f>
        <v/>
      </c>
      <c r="AC245" s="237" t="str">
        <f>IF(Table1[[#This Row],[Column12]]="","",Table1[[#This Row],[h_hargasebelumdiskon]]-Table1[[#This Row],[h_diskon]])</f>
        <v/>
      </c>
      <c r="AD245" s="237" t="str">
        <f ca="1">IF(Table1[[#This Row],[//]]="","",SUMIF(Table1[h_id],Table1[[#This Row],[h_id]],Table1[h_hargasetelahdiskon]))</f>
        <v/>
      </c>
      <c r="AF245" s="237" t="str">
        <f>Table1[[#This Row],[Column12]]&amp;Table1[[#This Row],[Unit]]&amp;Table1[[#This Row],[Column13]]</f>
        <v/>
      </c>
      <c r="AG245"/>
      <c r="AH245"/>
      <c r="AI245"/>
    </row>
    <row r="246" spans="1:35">
      <c r="A246" s="234" t="str">
        <f ca="1">IF(Table1[[#This Row],[No. Invoice :]]="","",ROW())</f>
        <v/>
      </c>
      <c r="B246" s="234" t="str">
        <f ca="1">IF(Table1[[#This Row],[Column3]]="","",B$1+COUNT(INDIRECT("B$2:B"&amp;ROW()-1)))</f>
        <v/>
      </c>
      <c r="C246" s="235" t="str">
        <f>IF(Table1[[#This Row],[Column2]]="","",Table1[[#This Row],[Column2]]+C$1-1)</f>
        <v/>
      </c>
      <c r="E246" s="236"/>
      <c r="F246" s="234"/>
      <c r="G246" s="234" t="str">
        <f ca="1">IF(Table1[[#This Row],[h_No. Invoice :]]="","",CONCATENATE("AM"," ",Table1[[#This Row],[h_No. Invoice :]]))</f>
        <v/>
      </c>
      <c r="H246" s="234" t="str">
        <f>IF(Table1[[#This Row],[Column5]]="","",INDEX(Table2[Column1],MATCH(Table1[[#This Row],[Column5]],Table2[a],0)))</f>
        <v/>
      </c>
      <c r="I246" s="234" t="str">
        <f>IF(Table1[[#This Row],[Column3]]=0,"",CONCATENATE(UPPER(Table1[[#This Row],[Column3]])," ",Table1[[#This Row],[Column4]]))</f>
        <v xml:space="preserve"> </v>
      </c>
      <c r="J246" s="234" t="str">
        <f>IF(Table1[[#This Row],[Column5]]="","",INDEX(Table2[e],IF(Table1[[#This Row],[Column5]]="","",MATCH(Table1[[#This Row],[Column5]],Table2[a],0)),))</f>
        <v/>
      </c>
      <c r="K246" s="234"/>
      <c r="L246" s="234"/>
      <c r="O246" s="234" t="str">
        <f>IF(Table1[[#This Row],[h_Item Description]]="","",INDEX([1]!db[NB PAJAK],MATCH(Table1[[#This Row],[h_Item Description]],[1]!db[kode],0)))</f>
        <v/>
      </c>
      <c r="Q246" s="237"/>
      <c r="R246" s="238"/>
      <c r="S246" s="238"/>
      <c r="T246" s="237" t="str">
        <f>Table1[[#This Row],[h_hargasetelahdiskon]]</f>
        <v/>
      </c>
      <c r="V246" s="234"/>
      <c r="W246" s="234" t="str">
        <f ca="1">IF(Table1[[#This Row],[Column12]]="","",IF(Table1[[#This Row],[//]]="",INDIRECT(ADDRESS(ROW()-1,COLUMN())),Table1[[#This Row],[//]]))</f>
        <v/>
      </c>
      <c r="X246" s="234" t="str">
        <f ca="1">IF(Table1[[#This Row],[h_id]]="","",COUNTIF(Table1[h_id],Table1[[#This Row],[h_id]]))</f>
        <v/>
      </c>
      <c r="Y246" s="237" t="str">
        <f>IF(Table1[[#This Row],[Column12]]="","",Table1[[#This Row],[Qty]]*Table1[[#This Row],[Column13]])</f>
        <v/>
      </c>
      <c r="Z246" s="237" t="str">
        <f>IF(Table1[[#This Row],[h_hargasebelumdiskon]]="","",IF(Table1[[#This Row],[Column14]]="",0,Table1[[#This Row],[h_hargasebelumdiskon]]*Table1[[#This Row],[Column14]]))</f>
        <v/>
      </c>
      <c r="AA246" s="237" t="str">
        <f>IF(Table1[[#This Row],[h_hargasebelumdiskon]]="","",IF(Table1[[#This Row],[Column15]]="",0,(Table1[[#This Row],[h_hargasebelumdiskon]]-Table1[[#This Row],[h_disc 1]])*Table1[[#This Row],[Column15]]))</f>
        <v/>
      </c>
      <c r="AB246" s="237" t="str">
        <f>IF(Table1[[#This Row],[Column12]]="","",Table1[[#This Row],[h_disc 1]]+Table1[[#This Row],[h_disc 2]])</f>
        <v/>
      </c>
      <c r="AC246" s="237" t="str">
        <f>IF(Table1[[#This Row],[Column12]]="","",Table1[[#This Row],[h_hargasebelumdiskon]]-Table1[[#This Row],[h_diskon]])</f>
        <v/>
      </c>
      <c r="AD246" s="237" t="str">
        <f ca="1">IF(Table1[[#This Row],[//]]="","",SUMIF(Table1[h_id],Table1[[#This Row],[h_id]],Table1[h_hargasetelahdiskon]))</f>
        <v/>
      </c>
      <c r="AF246" s="237" t="str">
        <f>Table1[[#This Row],[Column12]]&amp;Table1[[#This Row],[Unit]]&amp;Table1[[#This Row],[Column13]]</f>
        <v/>
      </c>
      <c r="AG246"/>
      <c r="AH246"/>
      <c r="AI246"/>
    </row>
    <row r="247" spans="1:35" s="234" customFormat="1">
      <c r="A247" s="234" t="str">
        <f ca="1">IF(Table1[[#This Row],[No. Invoice :]]="","",ROW())</f>
        <v/>
      </c>
      <c r="B247" s="234" t="str">
        <f ca="1">IF(Table1[[#This Row],[Column3]]="","",B$1+COUNT(INDIRECT("B$2:B"&amp;ROW()-1)))</f>
        <v/>
      </c>
      <c r="C247" s="235" t="str">
        <f>IF(Table1[[#This Row],[Column2]]="","",Table1[[#This Row],[Column2]]+C$1-1)</f>
        <v/>
      </c>
      <c r="D247" s="242"/>
      <c r="E247" s="236"/>
      <c r="G247" s="234" t="str">
        <f ca="1">IF(Table1[[#This Row],[h_No. Invoice :]]="","",CONCATENATE("AM"," ",Table1[[#This Row],[h_No. Invoice :]]))</f>
        <v/>
      </c>
      <c r="H247" s="234" t="str">
        <f>IF(Table1[[#This Row],[Column5]]="","",INDEX(Table2[Column1],MATCH(Table1[[#This Row],[Column5]],Table2[a],0)))</f>
        <v/>
      </c>
      <c r="I247" s="234" t="str">
        <f>IF(Table1[[#This Row],[Column3]]=0,"",CONCATENATE(UPPER(Table1[[#This Row],[Column3]])," ",Table1[[#This Row],[Column4]]))</f>
        <v xml:space="preserve"> </v>
      </c>
      <c r="J247" s="234" t="str">
        <f>IF(Table1[[#This Row],[Column5]]="","",INDEX(Table2[e],IF(Table1[[#This Row],[Column5]]="","",MATCH(Table1[[#This Row],[Column5]],Table2[a],0)),))</f>
        <v/>
      </c>
      <c r="O247" s="234" t="str">
        <f>IF(Table1[[#This Row],[h_Item Description]]="","",INDEX([1]!db[NB PAJAK],MATCH(Table1[[#This Row],[h_Item Description]],[1]!db[kode],0)))</f>
        <v/>
      </c>
      <c r="Q247" s="237"/>
      <c r="R247" s="238"/>
      <c r="S247" s="238"/>
      <c r="T247" s="237" t="str">
        <f>Table1[[#This Row],[h_hargasetelahdiskon]]</f>
        <v/>
      </c>
      <c r="U247" s="237"/>
      <c r="W247" s="234" t="str">
        <f ca="1">IF(Table1[[#This Row],[Column12]]="","",IF(Table1[[#This Row],[//]]="",INDIRECT(ADDRESS(ROW()-1,COLUMN())),Table1[[#This Row],[//]]))</f>
        <v/>
      </c>
      <c r="X247" s="234" t="str">
        <f ca="1">IF(Table1[[#This Row],[h_id]]="","",COUNTIF(Table1[h_id],Table1[[#This Row],[h_id]]))</f>
        <v/>
      </c>
      <c r="Y247" s="237" t="str">
        <f>IF(Table1[[#This Row],[Column12]]="","",Table1[[#This Row],[Qty]]*Table1[[#This Row],[Column13]])</f>
        <v/>
      </c>
      <c r="Z247" s="237" t="str">
        <f>IF(Table1[[#This Row],[h_hargasebelumdiskon]]="","",IF(Table1[[#This Row],[Column14]]="",0,Table1[[#This Row],[h_hargasebelumdiskon]]*Table1[[#This Row],[Column14]]))</f>
        <v/>
      </c>
      <c r="AA247" s="237" t="str">
        <f>IF(Table1[[#This Row],[h_hargasebelumdiskon]]="","",IF(Table1[[#This Row],[Column15]]="",0,(Table1[[#This Row],[h_hargasebelumdiskon]]-Table1[[#This Row],[h_disc 1]])*Table1[[#This Row],[Column15]]))</f>
        <v/>
      </c>
      <c r="AB247" s="237" t="str">
        <f>IF(Table1[[#This Row],[Column12]]="","",Table1[[#This Row],[h_disc 1]]+Table1[[#This Row],[h_disc 2]])</f>
        <v/>
      </c>
      <c r="AC247" s="237" t="str">
        <f>IF(Table1[[#This Row],[Column12]]="","",Table1[[#This Row],[h_hargasebelumdiskon]]-Table1[[#This Row],[h_diskon]])</f>
        <v/>
      </c>
      <c r="AD247" s="237" t="str">
        <f ca="1">IF(Table1[[#This Row],[//]]="","",SUMIF(Table1[h_id],Table1[[#This Row],[h_id]],Table1[h_hargasetelahdiskon]))</f>
        <v/>
      </c>
      <c r="AE247" s="237"/>
      <c r="AF247" s="237" t="str">
        <f>Table1[[#This Row],[Column12]]&amp;Table1[[#This Row],[Unit]]&amp;Table1[[#This Row],[Column13]]</f>
        <v/>
      </c>
    </row>
    <row r="248" spans="1:35" s="234" customFormat="1">
      <c r="A248" s="234" t="str">
        <f ca="1">IF(Table1[[#This Row],[No. Invoice :]]="","",ROW())</f>
        <v/>
      </c>
      <c r="B248" s="234" t="str">
        <f ca="1">IF(Table1[[#This Row],[Column3]]="","",B$1+COUNT(INDIRECT("B$2:B"&amp;ROW()-1)))</f>
        <v/>
      </c>
      <c r="C248" s="235" t="str">
        <f>IF(Table1[[#This Row],[Column2]]="","",Table1[[#This Row],[Column2]]+C$1-1)</f>
        <v/>
      </c>
      <c r="D248" s="242"/>
      <c r="E248" s="236"/>
      <c r="G248" s="234" t="str">
        <f ca="1">IF(Table1[[#This Row],[h_No. Invoice :]]="","",CONCATENATE("AM"," ",Table1[[#This Row],[h_No. Invoice :]]))</f>
        <v/>
      </c>
      <c r="H248" s="234" t="str">
        <f>IF(Table1[[#This Row],[Column5]]="","",INDEX(Table2[Column1],MATCH(Table1[[#This Row],[Column5]],Table2[a],0)))</f>
        <v/>
      </c>
      <c r="I248" s="234" t="str">
        <f>IF(Table1[[#This Row],[Column3]]=0,"",CONCATENATE(UPPER(Table1[[#This Row],[Column3]])," ",Table1[[#This Row],[Column4]]))</f>
        <v xml:space="preserve"> </v>
      </c>
      <c r="J248" s="234" t="str">
        <f>IF(Table1[[#This Row],[Column5]]="","",INDEX(Table2[e],IF(Table1[[#This Row],[Column5]]="","",MATCH(Table1[[#This Row],[Column5]],Table2[a],0)),))</f>
        <v/>
      </c>
      <c r="O248" s="234" t="str">
        <f>IF(Table1[[#This Row],[h_Item Description]]="","",INDEX([1]!db[NB PAJAK],MATCH(Table1[[#This Row],[h_Item Description]],[1]!db[kode],0)))</f>
        <v/>
      </c>
      <c r="P248" s="415"/>
      <c r="Q248" s="237"/>
      <c r="R248" s="238"/>
      <c r="S248" s="238"/>
      <c r="T248" s="237" t="str">
        <f>Table1[[#This Row],[h_hargasetelahdiskon]]</f>
        <v/>
      </c>
      <c r="U248" s="237"/>
      <c r="W248" s="234" t="str">
        <f ca="1">IF(Table1[[#This Row],[Column12]]="","",IF(Table1[[#This Row],[//]]="",INDIRECT(ADDRESS(ROW()-1,COLUMN())),Table1[[#This Row],[//]]))</f>
        <v/>
      </c>
      <c r="X248" s="234" t="str">
        <f ca="1">IF(Table1[[#This Row],[h_id]]="","",COUNTIF(Table1[h_id],Table1[[#This Row],[h_id]]))</f>
        <v/>
      </c>
      <c r="Y248" s="237" t="str">
        <f>IF(Table1[[#This Row],[Column12]]="","",Table1[[#This Row],[Qty]]*Table1[[#This Row],[Column13]])</f>
        <v/>
      </c>
      <c r="Z248" s="237" t="str">
        <f>IF(Table1[[#This Row],[h_hargasebelumdiskon]]="","",IF(Table1[[#This Row],[Column14]]="",0,Table1[[#This Row],[h_hargasebelumdiskon]]*Table1[[#This Row],[Column14]]))</f>
        <v/>
      </c>
      <c r="AA248" s="237" t="str">
        <f>IF(Table1[[#This Row],[h_hargasebelumdiskon]]="","",IF(Table1[[#This Row],[Column15]]="",0,(Table1[[#This Row],[h_hargasebelumdiskon]]-Table1[[#This Row],[h_disc 1]])*Table1[[#This Row],[Column15]]))</f>
        <v/>
      </c>
      <c r="AB248" s="237" t="str">
        <f>IF(Table1[[#This Row],[Column12]]="","",Table1[[#This Row],[h_disc 1]]+Table1[[#This Row],[h_disc 2]])</f>
        <v/>
      </c>
      <c r="AC248" s="237" t="str">
        <f>IF(Table1[[#This Row],[Column12]]="","",Table1[[#This Row],[h_hargasebelumdiskon]]-Table1[[#This Row],[h_diskon]])</f>
        <v/>
      </c>
      <c r="AD248" s="237" t="str">
        <f ca="1">IF(Table1[[#This Row],[//]]="","",SUMIF(Table1[h_id],Table1[[#This Row],[h_id]],Table1[h_hargasetelahdiskon]))</f>
        <v/>
      </c>
      <c r="AE248" s="237"/>
      <c r="AF248" s="237" t="str">
        <f>Table1[[#This Row],[Column12]]&amp;Table1[[#This Row],[Unit]]&amp;Table1[[#This Row],[Column13]]</f>
        <v/>
      </c>
    </row>
    <row r="249" spans="1:35">
      <c r="A249" s="234" t="str">
        <f ca="1">IF(Table1[[#This Row],[No. Invoice :]]="","",ROW())</f>
        <v/>
      </c>
      <c r="B249" s="234" t="str">
        <f ca="1">IF(Table1[[#This Row],[Column3]]="","",B$1+COUNT(INDIRECT("B$2:B"&amp;ROW()-1)))</f>
        <v/>
      </c>
      <c r="C249" s="235" t="str">
        <f>IF(Table1[[#This Row],[Column2]]="","",Table1[[#This Row],[Column2]]+C$1-1)</f>
        <v/>
      </c>
      <c r="E249" s="236"/>
      <c r="F249" s="234"/>
      <c r="G249" s="234" t="str">
        <f ca="1">IF(Table1[[#This Row],[h_No. Invoice :]]="","",CONCATENATE("AM"," ",Table1[[#This Row],[h_No. Invoice :]]))</f>
        <v/>
      </c>
      <c r="H249" s="234" t="str">
        <f>IF(Table1[[#This Row],[Column5]]="","",INDEX(Table2[Column1],MATCH(Table1[[#This Row],[Column5]],Table2[a],0)))</f>
        <v/>
      </c>
      <c r="I249" s="234" t="str">
        <f>IF(Table1[[#This Row],[Column3]]=0,"",CONCATENATE(UPPER(Table1[[#This Row],[Column3]])," ",Table1[[#This Row],[Column4]]))</f>
        <v xml:space="preserve"> </v>
      </c>
      <c r="J249" s="234" t="str">
        <f>IF(Table1[[#This Row],[Column5]]="","",INDEX(Table2[e],IF(Table1[[#This Row],[Column5]]="","",MATCH(Table1[[#This Row],[Column5]],Table2[a],0)),))</f>
        <v/>
      </c>
      <c r="K249" s="234"/>
      <c r="L249" s="234"/>
      <c r="O249" s="234" t="str">
        <f>IF(Table1[[#This Row],[h_Item Description]]="","",INDEX([1]!db[NB PAJAK],MATCH(Table1[[#This Row],[h_Item Description]],[1]!db[kode],0)))</f>
        <v/>
      </c>
      <c r="Q249" s="237"/>
      <c r="R249" s="238"/>
      <c r="S249" s="238"/>
      <c r="T249" s="237" t="str">
        <f>Table1[[#This Row],[h_hargasetelahdiskon]]</f>
        <v/>
      </c>
      <c r="V249" s="234"/>
      <c r="W249" s="234" t="str">
        <f ca="1">IF(Table1[[#This Row],[Column12]]="","",IF(Table1[[#This Row],[//]]="",INDIRECT(ADDRESS(ROW()-1,COLUMN())),Table1[[#This Row],[//]]))</f>
        <v/>
      </c>
      <c r="X249" s="234" t="str">
        <f ca="1">IF(Table1[[#This Row],[h_id]]="","",COUNTIF(Table1[h_id],Table1[[#This Row],[h_id]]))</f>
        <v/>
      </c>
      <c r="Y249" s="237" t="str">
        <f>IF(Table1[[#This Row],[Column12]]="","",Table1[[#This Row],[Qty]]*Table1[[#This Row],[Column13]])</f>
        <v/>
      </c>
      <c r="Z249" s="237" t="str">
        <f>IF(Table1[[#This Row],[h_hargasebelumdiskon]]="","",IF(Table1[[#This Row],[Column14]]="",0,Table1[[#This Row],[h_hargasebelumdiskon]]*Table1[[#This Row],[Column14]]))</f>
        <v/>
      </c>
      <c r="AA249" s="237" t="str">
        <f>IF(Table1[[#This Row],[h_hargasebelumdiskon]]="","",IF(Table1[[#This Row],[Column15]]="",0,(Table1[[#This Row],[h_hargasebelumdiskon]]-Table1[[#This Row],[h_disc 1]])*Table1[[#This Row],[Column15]]))</f>
        <v/>
      </c>
      <c r="AB249" s="237" t="str">
        <f>IF(Table1[[#This Row],[Column12]]="","",Table1[[#This Row],[h_disc 1]]+Table1[[#This Row],[h_disc 2]])</f>
        <v/>
      </c>
      <c r="AC249" s="237" t="str">
        <f>IF(Table1[[#This Row],[Column12]]="","",Table1[[#This Row],[h_hargasebelumdiskon]]-Table1[[#This Row],[h_diskon]])</f>
        <v/>
      </c>
      <c r="AD249" s="237" t="str">
        <f ca="1">IF(Table1[[#This Row],[//]]="","",SUMIF(Table1[h_id],Table1[[#This Row],[h_id]],Table1[h_hargasetelahdiskon]))</f>
        <v/>
      </c>
      <c r="AF249" s="237" t="str">
        <f>Table1[[#This Row],[Column12]]&amp;Table1[[#This Row],[Unit]]&amp;Table1[[#This Row],[Column13]]</f>
        <v/>
      </c>
      <c r="AG249"/>
      <c r="AH249" s="425">
        <v>13356000</v>
      </c>
      <c r="AI249"/>
    </row>
    <row r="250" spans="1:35">
      <c r="A250" s="234" t="str">
        <f ca="1">IF(Table1[[#This Row],[No. Invoice :]]="","",ROW())</f>
        <v/>
      </c>
      <c r="B250" s="234" t="str">
        <f ca="1">IF(Table1[[#This Row],[Column3]]="","",B$1+COUNT(INDIRECT("B$2:B"&amp;ROW()-1)))</f>
        <v/>
      </c>
      <c r="C250" s="235" t="str">
        <f>IF(Table1[[#This Row],[Column2]]="","",Table1[[#This Row],[Column2]]+C$1-1)</f>
        <v/>
      </c>
      <c r="E250" s="236"/>
      <c r="F250" s="234"/>
      <c r="G250" s="234" t="str">
        <f ca="1">IF(Table1[[#This Row],[h_No. Invoice :]]="","",CONCATENATE("AM"," ",Table1[[#This Row],[h_No. Invoice :]]))</f>
        <v/>
      </c>
      <c r="H250" s="234" t="str">
        <f>IF(Table1[[#This Row],[Column5]]="","",INDEX(Table2[Column1],MATCH(Table1[[#This Row],[Column5]],Table2[a],0)))</f>
        <v/>
      </c>
      <c r="I250" s="234" t="str">
        <f>IF(Table1[[#This Row],[Column3]]=0,"",CONCATENATE(UPPER(Table1[[#This Row],[Column3]])," ",Table1[[#This Row],[Column4]]))</f>
        <v xml:space="preserve"> </v>
      </c>
      <c r="J250" s="234" t="str">
        <f>IF(Table1[[#This Row],[Column5]]="","",INDEX(Table2[e],IF(Table1[[#This Row],[Column5]]="","",MATCH(Table1[[#This Row],[Column5]],Table2[a],0)),))</f>
        <v/>
      </c>
      <c r="K250" s="234"/>
      <c r="L250" s="234"/>
      <c r="O250" s="234" t="str">
        <f>IF(Table1[[#This Row],[h_Item Description]]="","",INDEX([1]!db[NB PAJAK],MATCH(Table1[[#This Row],[h_Item Description]],[1]!db[kode],0)))</f>
        <v/>
      </c>
      <c r="Q250" s="237"/>
      <c r="R250" s="238"/>
      <c r="S250" s="238"/>
      <c r="T250" s="237" t="str">
        <f>Table1[[#This Row],[h_hargasetelahdiskon]]</f>
        <v/>
      </c>
      <c r="V250" s="234"/>
      <c r="W250" s="234" t="str">
        <f ca="1">IF(Table1[[#This Row],[Column12]]="","",IF(Table1[[#This Row],[//]]="",INDIRECT(ADDRESS(ROW()-1,COLUMN())),Table1[[#This Row],[//]]))</f>
        <v/>
      </c>
      <c r="X250" s="234" t="str">
        <f ca="1">IF(Table1[[#This Row],[h_id]]="","",COUNTIF(Table1[h_id],Table1[[#This Row],[h_id]]))</f>
        <v/>
      </c>
      <c r="Y250" s="237" t="str">
        <f>IF(Table1[[#This Row],[Column12]]="","",Table1[[#This Row],[Qty]]*Table1[[#This Row],[Column13]])</f>
        <v/>
      </c>
      <c r="Z250" s="237" t="str">
        <f>IF(Table1[[#This Row],[h_hargasebelumdiskon]]="","",IF(Table1[[#This Row],[Column14]]="",0,Table1[[#This Row],[h_hargasebelumdiskon]]*Table1[[#This Row],[Column14]]))</f>
        <v/>
      </c>
      <c r="AA250" s="237" t="str">
        <f>IF(Table1[[#This Row],[h_hargasebelumdiskon]]="","",IF(Table1[[#This Row],[Column15]]="",0,(Table1[[#This Row],[h_hargasebelumdiskon]]-Table1[[#This Row],[h_disc 1]])*Table1[[#This Row],[Column15]]))</f>
        <v/>
      </c>
      <c r="AB250" s="237" t="str">
        <f>IF(Table1[[#This Row],[Column12]]="","",Table1[[#This Row],[h_disc 1]]+Table1[[#This Row],[h_disc 2]])</f>
        <v/>
      </c>
      <c r="AC250" s="237" t="str">
        <f>IF(Table1[[#This Row],[Column12]]="","",Table1[[#This Row],[h_hargasebelumdiskon]]-Table1[[#This Row],[h_diskon]])</f>
        <v/>
      </c>
      <c r="AD250" s="237" t="str">
        <f ca="1">IF(Table1[[#This Row],[//]]="","",SUMIF(Table1[h_id],Table1[[#This Row],[h_id]],Table1[h_hargasetelahdiskon]))</f>
        <v/>
      </c>
      <c r="AF250" s="237" t="str">
        <f>Table1[[#This Row],[Column12]]&amp;Table1[[#This Row],[Unit]]&amp;Table1[[#This Row],[Column13]]</f>
        <v/>
      </c>
      <c r="AG250"/>
      <c r="AH250" s="425">
        <v>6678000</v>
      </c>
      <c r="AI250"/>
    </row>
    <row r="251" spans="1:35">
      <c r="A251" s="234" t="str">
        <f ca="1">IF(Table1[[#This Row],[No. Invoice :]]="","",ROW())</f>
        <v/>
      </c>
      <c r="B251" s="234" t="str">
        <f ca="1">IF(Table1[[#This Row],[Column3]]="","",B$1+COUNT(INDIRECT("B$2:B"&amp;ROW()-1)))</f>
        <v/>
      </c>
      <c r="C251" s="235" t="str">
        <f>IF(Table1[[#This Row],[Column2]]="","",Table1[[#This Row],[Column2]]+C$1-1)</f>
        <v/>
      </c>
      <c r="E251" s="236"/>
      <c r="F251" s="234"/>
      <c r="G251" s="234" t="str">
        <f ca="1">IF(Table1[[#This Row],[h_No. Invoice :]]="","",CONCATENATE("AM"," ",Table1[[#This Row],[h_No. Invoice :]]))</f>
        <v/>
      </c>
      <c r="H251" s="234" t="str">
        <f>IF(Table1[[#This Row],[Column5]]="","",INDEX(Table2[Column1],MATCH(Table1[[#This Row],[Column5]],Table2[a],0)))</f>
        <v/>
      </c>
      <c r="I251" s="234" t="str">
        <f>IF(Table1[[#This Row],[Column3]]=0,"",CONCATENATE(UPPER(Table1[[#This Row],[Column3]])," ",Table1[[#This Row],[Column4]]))</f>
        <v xml:space="preserve"> </v>
      </c>
      <c r="J251" s="234" t="str">
        <f>IF(Table1[[#This Row],[Column5]]="","",INDEX(Table2[e],IF(Table1[[#This Row],[Column5]]="","",MATCH(Table1[[#This Row],[Column5]],Table2[a],0)),))</f>
        <v/>
      </c>
      <c r="K251" s="234"/>
      <c r="L251" s="234"/>
      <c r="O251" s="234" t="str">
        <f>IF(Table1[[#This Row],[h_Item Description]]="","",INDEX([1]!db[NB PAJAK],MATCH(Table1[[#This Row],[h_Item Description]],[1]!db[kode],0)))</f>
        <v/>
      </c>
      <c r="Q251" s="237"/>
      <c r="R251" s="238"/>
      <c r="S251" s="238"/>
      <c r="T251" s="237" t="str">
        <f>Table1[[#This Row],[h_hargasetelahdiskon]]</f>
        <v/>
      </c>
      <c r="V251" s="234"/>
      <c r="W251" s="234" t="str">
        <f ca="1">IF(Table1[[#This Row],[Column12]]="","",IF(Table1[[#This Row],[//]]="",INDIRECT(ADDRESS(ROW()-1,COLUMN())),Table1[[#This Row],[//]]))</f>
        <v/>
      </c>
      <c r="X251" s="234" t="str">
        <f ca="1">IF(Table1[[#This Row],[h_id]]="","",COUNTIF(Table1[h_id],Table1[[#This Row],[h_id]]))</f>
        <v/>
      </c>
      <c r="Y251" s="237" t="str">
        <f>IF(Table1[[#This Row],[Column12]]="","",Table1[[#This Row],[Qty]]*Table1[[#This Row],[Column13]])</f>
        <v/>
      </c>
      <c r="Z251" s="237" t="str">
        <f>IF(Table1[[#This Row],[h_hargasebelumdiskon]]="","",IF(Table1[[#This Row],[Column14]]="",0,Table1[[#This Row],[h_hargasebelumdiskon]]*Table1[[#This Row],[Column14]]))</f>
        <v/>
      </c>
      <c r="AA251" s="237" t="str">
        <f>IF(Table1[[#This Row],[h_hargasebelumdiskon]]="","",IF(Table1[[#This Row],[Column15]]="",0,(Table1[[#This Row],[h_hargasebelumdiskon]]-Table1[[#This Row],[h_disc 1]])*Table1[[#This Row],[Column15]]))</f>
        <v/>
      </c>
      <c r="AB251" s="237" t="str">
        <f>IF(Table1[[#This Row],[Column12]]="","",Table1[[#This Row],[h_disc 1]]+Table1[[#This Row],[h_disc 2]])</f>
        <v/>
      </c>
      <c r="AC251" s="237" t="str">
        <f>IF(Table1[[#This Row],[Column12]]="","",Table1[[#This Row],[h_hargasebelumdiskon]]-Table1[[#This Row],[h_diskon]])</f>
        <v/>
      </c>
      <c r="AD251" s="237" t="str">
        <f ca="1">IF(Table1[[#This Row],[//]]="","",SUMIF(Table1[h_id],Table1[[#This Row],[h_id]],Table1[h_hargasetelahdiskon]))</f>
        <v/>
      </c>
      <c r="AF251" s="237" t="str">
        <f>Table1[[#This Row],[Column12]]&amp;Table1[[#This Row],[Unit]]&amp;Table1[[#This Row],[Column13]]</f>
        <v/>
      </c>
      <c r="AG251"/>
      <c r="AH251" s="425">
        <v>3376800</v>
      </c>
      <c r="AI251"/>
    </row>
    <row r="252" spans="1:35">
      <c r="A252" s="234" t="str">
        <f ca="1">IF(Table1[[#This Row],[No. Invoice :]]="","",ROW())</f>
        <v/>
      </c>
      <c r="B252" s="234" t="str">
        <f ca="1">IF(Table1[[#This Row],[Column3]]="","",B$1+COUNT(INDIRECT("B$2:B"&amp;ROW()-1)))</f>
        <v/>
      </c>
      <c r="C252" s="235" t="str">
        <f>IF(Table1[[#This Row],[Column2]]="","",Table1[[#This Row],[Column2]]+C$1-1)</f>
        <v/>
      </c>
      <c r="E252" s="236"/>
      <c r="F252" s="234"/>
      <c r="G252" s="234" t="str">
        <f ca="1">IF(Table1[[#This Row],[h_No. Invoice :]]="","",CONCATENATE("AM"," ",Table1[[#This Row],[h_No. Invoice :]]))</f>
        <v/>
      </c>
      <c r="H252" s="234" t="str">
        <f>IF(Table1[[#This Row],[Column5]]="","",INDEX(Table2[Column1],MATCH(Table1[[#This Row],[Column5]],Table2[a],0)))</f>
        <v/>
      </c>
      <c r="I252" s="234" t="str">
        <f>IF(Table1[[#This Row],[Column3]]=0,"",CONCATENATE(UPPER(Table1[[#This Row],[Column3]])," ",Table1[[#This Row],[Column4]]))</f>
        <v xml:space="preserve"> </v>
      </c>
      <c r="J252" s="234" t="str">
        <f>IF(Table1[[#This Row],[Column5]]="","",INDEX(Table2[e],IF(Table1[[#This Row],[Column5]]="","",MATCH(Table1[[#This Row],[Column5]],Table2[a],0)),))</f>
        <v/>
      </c>
      <c r="K252" s="234"/>
      <c r="L252" s="234"/>
      <c r="O252" s="234" t="str">
        <f>IF(Table1[[#This Row],[h_Item Description]]="","",INDEX([1]!db[NB PAJAK],MATCH(Table1[[#This Row],[h_Item Description]],[1]!db[kode],0)))</f>
        <v/>
      </c>
      <c r="Q252" s="237"/>
      <c r="R252" s="238"/>
      <c r="S252" s="238"/>
      <c r="T252" s="237" t="str">
        <f>Table1[[#This Row],[h_hargasetelahdiskon]]</f>
        <v/>
      </c>
      <c r="V252" s="234"/>
      <c r="W252" s="234" t="str">
        <f ca="1">IF(Table1[[#This Row],[Column12]]="","",IF(Table1[[#This Row],[//]]="",INDIRECT(ADDRESS(ROW()-1,COLUMN())),Table1[[#This Row],[//]]))</f>
        <v/>
      </c>
      <c r="X252" s="234" t="str">
        <f ca="1">IF(Table1[[#This Row],[h_id]]="","",COUNTIF(Table1[h_id],Table1[[#This Row],[h_id]]))</f>
        <v/>
      </c>
      <c r="Y252" s="237" t="str">
        <f>IF(Table1[[#This Row],[Column12]]="","",Table1[[#This Row],[Qty]]*Table1[[#This Row],[Column13]])</f>
        <v/>
      </c>
      <c r="Z252" s="237" t="str">
        <f>IF(Table1[[#This Row],[h_hargasebelumdiskon]]="","",IF(Table1[[#This Row],[Column14]]="",0,Table1[[#This Row],[h_hargasebelumdiskon]]*Table1[[#This Row],[Column14]]))</f>
        <v/>
      </c>
      <c r="AA252" s="237" t="str">
        <f>IF(Table1[[#This Row],[h_hargasebelumdiskon]]="","",IF(Table1[[#This Row],[Column15]]="",0,(Table1[[#This Row],[h_hargasebelumdiskon]]-Table1[[#This Row],[h_disc 1]])*Table1[[#This Row],[Column15]]))</f>
        <v/>
      </c>
      <c r="AB252" s="237" t="str">
        <f>IF(Table1[[#This Row],[Column12]]="","",Table1[[#This Row],[h_disc 1]]+Table1[[#This Row],[h_disc 2]])</f>
        <v/>
      </c>
      <c r="AC252" s="237" t="str">
        <f>IF(Table1[[#This Row],[Column12]]="","",Table1[[#This Row],[h_hargasebelumdiskon]]-Table1[[#This Row],[h_diskon]])</f>
        <v/>
      </c>
      <c r="AD252" s="237" t="str">
        <f ca="1">IF(Table1[[#This Row],[//]]="","",SUMIF(Table1[h_id],Table1[[#This Row],[h_id]],Table1[h_hargasetelahdiskon]))</f>
        <v/>
      </c>
      <c r="AF252" s="237" t="str">
        <f>Table1[[#This Row],[Column12]]&amp;Table1[[#This Row],[Unit]]&amp;Table1[[#This Row],[Column13]]</f>
        <v/>
      </c>
      <c r="AG252"/>
      <c r="AH252" s="425">
        <v>932400</v>
      </c>
      <c r="AI252"/>
    </row>
    <row r="253" spans="1:35">
      <c r="A253" s="234" t="str">
        <f ca="1">IF(Table1[[#This Row],[No. Invoice :]]="","",ROW())</f>
        <v/>
      </c>
      <c r="B253" s="234" t="str">
        <f ca="1">IF(Table1[[#This Row],[Column3]]="","",B$1+COUNT(INDIRECT("B$2:B"&amp;ROW()-1)))</f>
        <v/>
      </c>
      <c r="C253" s="235" t="str">
        <f>IF(Table1[[#This Row],[Column2]]="","",Table1[[#This Row],[Column2]]+C$1-1)</f>
        <v/>
      </c>
      <c r="E253" s="236"/>
      <c r="F253" s="234"/>
      <c r="G253" s="234" t="str">
        <f ca="1">IF(Table1[[#This Row],[h_No. Invoice :]]="","",CONCATENATE("AM"," ",Table1[[#This Row],[h_No. Invoice :]]))</f>
        <v/>
      </c>
      <c r="H253" s="234" t="str">
        <f>IF(Table1[[#This Row],[Column5]]="","",INDEX(Table2[Column1],MATCH(Table1[[#This Row],[Column5]],Table2[a],0)))</f>
        <v/>
      </c>
      <c r="I253" s="234" t="str">
        <f>IF(Table1[[#This Row],[Column3]]=0,"",CONCATENATE(UPPER(Table1[[#This Row],[Column3]])," ",Table1[[#This Row],[Column4]]))</f>
        <v xml:space="preserve"> </v>
      </c>
      <c r="J253" s="234" t="str">
        <f>IF(Table1[[#This Row],[Column5]]="","",INDEX(Table2[e],IF(Table1[[#This Row],[Column5]]="","",MATCH(Table1[[#This Row],[Column5]],Table2[a],0)),))</f>
        <v/>
      </c>
      <c r="K253" s="234"/>
      <c r="L253" s="234"/>
      <c r="O253" s="234" t="str">
        <f>IF(Table1[[#This Row],[h_Item Description]]="","",INDEX([1]!db[NB PAJAK],MATCH(Table1[[#This Row],[h_Item Description]],[1]!db[kode],0)))</f>
        <v/>
      </c>
      <c r="Q253" s="237"/>
      <c r="R253" s="238"/>
      <c r="S253" s="238"/>
      <c r="T253" s="237" t="str">
        <f>Table1[[#This Row],[h_hargasetelahdiskon]]</f>
        <v/>
      </c>
      <c r="V253" s="234"/>
      <c r="W253" s="234" t="str">
        <f ca="1">IF(Table1[[#This Row],[Column12]]="","",IF(Table1[[#This Row],[//]]="",INDIRECT(ADDRESS(ROW()-1,COLUMN())),Table1[[#This Row],[//]]))</f>
        <v/>
      </c>
      <c r="X253" s="234" t="str">
        <f ca="1">IF(Table1[[#This Row],[h_id]]="","",COUNTIF(Table1[h_id],Table1[[#This Row],[h_id]]))</f>
        <v/>
      </c>
      <c r="Y253" s="237" t="str">
        <f>IF(Table1[[#This Row],[Column12]]="","",Table1[[#This Row],[Qty]]*Table1[[#This Row],[Column13]])</f>
        <v/>
      </c>
      <c r="Z253" s="237" t="str">
        <f>IF(Table1[[#This Row],[h_hargasebelumdiskon]]="","",IF(Table1[[#This Row],[Column14]]="",0,Table1[[#This Row],[h_hargasebelumdiskon]]*Table1[[#This Row],[Column14]]))</f>
        <v/>
      </c>
      <c r="AA253" s="237" t="str">
        <f>IF(Table1[[#This Row],[h_hargasebelumdiskon]]="","",IF(Table1[[#This Row],[Column15]]="",0,(Table1[[#This Row],[h_hargasebelumdiskon]]-Table1[[#This Row],[h_disc 1]])*Table1[[#This Row],[Column15]]))</f>
        <v/>
      </c>
      <c r="AB253" s="237" t="str">
        <f>IF(Table1[[#This Row],[Column12]]="","",Table1[[#This Row],[h_disc 1]]+Table1[[#This Row],[h_disc 2]])</f>
        <v/>
      </c>
      <c r="AC253" s="237" t="str">
        <f>IF(Table1[[#This Row],[Column12]]="","",Table1[[#This Row],[h_hargasebelumdiskon]]-Table1[[#This Row],[h_diskon]])</f>
        <v/>
      </c>
      <c r="AD253" s="237" t="str">
        <f ca="1">IF(Table1[[#This Row],[//]]="","",SUMIF(Table1[h_id],Table1[[#This Row],[h_id]],Table1[h_hargasetelahdiskon]))</f>
        <v/>
      </c>
      <c r="AF253" s="237" t="str">
        <f>Table1[[#This Row],[Column12]]&amp;Table1[[#This Row],[Unit]]&amp;Table1[[#This Row],[Column13]]</f>
        <v/>
      </c>
      <c r="AG253"/>
      <c r="AH253" s="425">
        <v>3990000</v>
      </c>
      <c r="AI253"/>
    </row>
    <row r="254" spans="1:35">
      <c r="A254" s="234" t="str">
        <f ca="1">IF(Table1[[#This Row],[No. Invoice :]]="","",ROW())</f>
        <v/>
      </c>
      <c r="B254" s="234" t="str">
        <f ca="1">IF(Table1[[#This Row],[Column3]]="","",B$1+COUNT(INDIRECT("B$2:B"&amp;ROW()-1)))</f>
        <v/>
      </c>
      <c r="C254" s="235" t="str">
        <f>IF(Table1[[#This Row],[Column2]]="","",Table1[[#This Row],[Column2]]+C$1-1)</f>
        <v/>
      </c>
      <c r="E254" s="236"/>
      <c r="F254" s="234"/>
      <c r="G254" s="234" t="str">
        <f ca="1">IF(Table1[[#This Row],[h_No. Invoice :]]="","",CONCATENATE("AM"," ",Table1[[#This Row],[h_No. Invoice :]]))</f>
        <v/>
      </c>
      <c r="H254" s="234" t="str">
        <f>IF(Table1[[#This Row],[Column5]]="","",INDEX(Table2[Column1],MATCH(Table1[[#This Row],[Column5]],Table2[a],0)))</f>
        <v/>
      </c>
      <c r="I254" s="234" t="str">
        <f>IF(Table1[[#This Row],[Column3]]=0,"",CONCATENATE(UPPER(Table1[[#This Row],[Column3]])," ",Table1[[#This Row],[Column4]]))</f>
        <v xml:space="preserve"> </v>
      </c>
      <c r="J254" s="234" t="str">
        <f>IF(Table1[[#This Row],[Column5]]="","",INDEX(Table2[e],IF(Table1[[#This Row],[Column5]]="","",MATCH(Table1[[#This Row],[Column5]],Table2[a],0)),))</f>
        <v/>
      </c>
      <c r="K254" s="234"/>
      <c r="L254" s="234"/>
      <c r="O254" s="234" t="str">
        <f>IF(Table1[[#This Row],[h_Item Description]]="","",INDEX([1]!db[NB PAJAK],MATCH(Table1[[#This Row],[h_Item Description]],[1]!db[kode],0)))</f>
        <v/>
      </c>
      <c r="P254" s="415"/>
      <c r="Q254" s="237"/>
      <c r="R254" s="238"/>
      <c r="S254" s="238"/>
      <c r="T254" s="237" t="str">
        <f>Table1[[#This Row],[h_hargasetelahdiskon]]</f>
        <v/>
      </c>
      <c r="V254" s="234"/>
      <c r="W254" s="234" t="str">
        <f ca="1">IF(Table1[[#This Row],[Column12]]="","",IF(Table1[[#This Row],[//]]="",INDIRECT(ADDRESS(ROW()-1,COLUMN())),Table1[[#This Row],[//]]))</f>
        <v/>
      </c>
      <c r="X254" s="234" t="str">
        <f ca="1">IF(Table1[[#This Row],[h_id]]="","",COUNTIF(Table1[h_id],Table1[[#This Row],[h_id]]))</f>
        <v/>
      </c>
      <c r="Y254" s="237" t="str">
        <f>IF(Table1[[#This Row],[Column12]]="","",Table1[[#This Row],[Qty]]*Table1[[#This Row],[Column13]])</f>
        <v/>
      </c>
      <c r="Z254" s="237" t="str">
        <f>IF(Table1[[#This Row],[h_hargasebelumdiskon]]="","",IF(Table1[[#This Row],[Column14]]="",0,Table1[[#This Row],[h_hargasebelumdiskon]]*Table1[[#This Row],[Column14]]))</f>
        <v/>
      </c>
      <c r="AA254" s="237" t="str">
        <f>IF(Table1[[#This Row],[h_hargasebelumdiskon]]="","",IF(Table1[[#This Row],[Column15]]="",0,(Table1[[#This Row],[h_hargasebelumdiskon]]-Table1[[#This Row],[h_disc 1]])*Table1[[#This Row],[Column15]]))</f>
        <v/>
      </c>
      <c r="AB254" s="237" t="str">
        <f>IF(Table1[[#This Row],[Column12]]="","",Table1[[#This Row],[h_disc 1]]+Table1[[#This Row],[h_disc 2]])</f>
        <v/>
      </c>
      <c r="AC254" s="237" t="str">
        <f>IF(Table1[[#This Row],[Column12]]="","",Table1[[#This Row],[h_hargasebelumdiskon]]-Table1[[#This Row],[h_diskon]])</f>
        <v/>
      </c>
      <c r="AD254" s="237" t="str">
        <f ca="1">IF(Table1[[#This Row],[//]]="","",SUMIF(Table1[h_id],Table1[[#This Row],[h_id]],Table1[h_hargasetelahdiskon]))</f>
        <v/>
      </c>
      <c r="AF254" s="237" t="str">
        <f>Table1[[#This Row],[Column12]]&amp;Table1[[#This Row],[Unit]]&amp;Table1[[#This Row],[Column13]]</f>
        <v/>
      </c>
      <c r="AG254"/>
      <c r="AH254" s="425">
        <v>18522000</v>
      </c>
      <c r="AI254"/>
    </row>
    <row r="255" spans="1:35">
      <c r="A255" s="234" t="str">
        <f ca="1">IF(Table1[[#This Row],[No. Invoice :]]="","",ROW())</f>
        <v/>
      </c>
      <c r="B255" s="234" t="str">
        <f ca="1">IF(Table1[[#This Row],[Column3]]="","",B$1+COUNT(INDIRECT("B$2:B"&amp;ROW()-1)))</f>
        <v/>
      </c>
      <c r="C255" s="235" t="str">
        <f>IF(Table1[[#This Row],[Column2]]="","",Table1[[#This Row],[Column2]]+C$1-1)</f>
        <v/>
      </c>
      <c r="E255" s="236"/>
      <c r="F255" s="234"/>
      <c r="G255" s="234" t="str">
        <f ca="1">IF(Table1[[#This Row],[h_No. Invoice :]]="","",CONCATENATE("AM"," ",Table1[[#This Row],[h_No. Invoice :]]))</f>
        <v/>
      </c>
      <c r="H255" s="234" t="str">
        <f>IF(Table1[[#This Row],[Column5]]="","",INDEX(Table2[Column1],MATCH(Table1[[#This Row],[Column5]],Table2[a],0)))</f>
        <v/>
      </c>
      <c r="I255" s="234" t="str">
        <f>IF(Table1[[#This Row],[Column3]]=0,"",CONCATENATE(UPPER(Table1[[#This Row],[Column3]])," ",Table1[[#This Row],[Column4]]))</f>
        <v xml:space="preserve"> </v>
      </c>
      <c r="J255" s="234" t="str">
        <f>IF(Table1[[#This Row],[Column5]]="","",INDEX(Table2[e],IF(Table1[[#This Row],[Column5]]="","",MATCH(Table1[[#This Row],[Column5]],Table2[a],0)),))</f>
        <v/>
      </c>
      <c r="K255" s="234"/>
      <c r="L255" s="234"/>
      <c r="O255" s="234" t="str">
        <f>IF(Table1[[#This Row],[h_Item Description]]="","",INDEX([1]!db[NB PAJAK],MATCH(Table1[[#This Row],[h_Item Description]],[1]!db[kode],0)))</f>
        <v/>
      </c>
      <c r="Q255" s="237"/>
      <c r="R255" s="238"/>
      <c r="S255" s="238"/>
      <c r="T255" s="237" t="str">
        <f>Table1[[#This Row],[h_hargasetelahdiskon]]</f>
        <v/>
      </c>
      <c r="V255" s="234"/>
      <c r="W255" s="234" t="str">
        <f ca="1">IF(Table1[[#This Row],[Column12]]="","",IF(Table1[[#This Row],[//]]="",INDIRECT(ADDRESS(ROW()-1,COLUMN())),Table1[[#This Row],[//]]))</f>
        <v/>
      </c>
      <c r="X255" s="234" t="str">
        <f ca="1">IF(Table1[[#This Row],[h_id]]="","",COUNTIF(Table1[h_id],Table1[[#This Row],[h_id]]))</f>
        <v/>
      </c>
      <c r="Y255" s="237" t="str">
        <f>IF(Table1[[#This Row],[Column12]]="","",Table1[[#This Row],[Qty]]*Table1[[#This Row],[Column13]])</f>
        <v/>
      </c>
      <c r="Z255" s="237" t="str">
        <f>IF(Table1[[#This Row],[h_hargasebelumdiskon]]="","",IF(Table1[[#This Row],[Column14]]="",0,Table1[[#This Row],[h_hargasebelumdiskon]]*Table1[[#This Row],[Column14]]))</f>
        <v/>
      </c>
      <c r="AA255" s="237" t="str">
        <f>IF(Table1[[#This Row],[h_hargasebelumdiskon]]="","",IF(Table1[[#This Row],[Column15]]="",0,(Table1[[#This Row],[h_hargasebelumdiskon]]-Table1[[#This Row],[h_disc 1]])*Table1[[#This Row],[Column15]]))</f>
        <v/>
      </c>
      <c r="AB255" s="237" t="str">
        <f>IF(Table1[[#This Row],[Column12]]="","",Table1[[#This Row],[h_disc 1]]+Table1[[#This Row],[h_disc 2]])</f>
        <v/>
      </c>
      <c r="AC255" s="237" t="str">
        <f>IF(Table1[[#This Row],[Column12]]="","",Table1[[#This Row],[h_hargasebelumdiskon]]-Table1[[#This Row],[h_diskon]])</f>
        <v/>
      </c>
      <c r="AD255" s="237" t="str">
        <f ca="1">IF(Table1[[#This Row],[//]]="","",SUMIF(Table1[h_id],Table1[[#This Row],[h_id]],Table1[h_hargasetelahdiskon]))</f>
        <v/>
      </c>
      <c r="AF255" s="237" t="str">
        <f>Table1[[#This Row],[Column12]]&amp;Table1[[#This Row],[Unit]]&amp;Table1[[#This Row],[Column13]]</f>
        <v/>
      </c>
      <c r="AG255"/>
      <c r="AH255" s="425">
        <v>708750</v>
      </c>
      <c r="AI255"/>
    </row>
    <row r="256" spans="1:35">
      <c r="A256" s="234" t="str">
        <f ca="1">IF(Table1[[#This Row],[No. Invoice :]]="","",ROW())</f>
        <v/>
      </c>
      <c r="B256" s="234" t="str">
        <f ca="1">IF(Table1[[#This Row],[Column3]]="","",B$1+COUNT(INDIRECT("B$2:B"&amp;ROW()-1)))</f>
        <v/>
      </c>
      <c r="C256" s="235" t="str">
        <f>IF(Table1[[#This Row],[Column2]]="","",Table1[[#This Row],[Column2]]+C$1-1)</f>
        <v/>
      </c>
      <c r="E256" s="236"/>
      <c r="F256" s="234"/>
      <c r="G256" s="234" t="str">
        <f ca="1">IF(Table1[[#This Row],[h_No. Invoice :]]="","",CONCATENATE("AM"," ",Table1[[#This Row],[h_No. Invoice :]]))</f>
        <v/>
      </c>
      <c r="H256" s="234" t="str">
        <f>IF(Table1[[#This Row],[Column5]]="","",INDEX(Table2[Column1],MATCH(Table1[[#This Row],[Column5]],Table2[a],0)))</f>
        <v/>
      </c>
      <c r="I256" s="234" t="str">
        <f>IF(Table1[[#This Row],[Column3]]=0,"",CONCATENATE(UPPER(Table1[[#This Row],[Column3]])," ",Table1[[#This Row],[Column4]]))</f>
        <v xml:space="preserve"> </v>
      </c>
      <c r="J256" s="234" t="str">
        <f>IF(Table1[[#This Row],[Column5]]="","",INDEX(Table2[e],IF(Table1[[#This Row],[Column5]]="","",MATCH(Table1[[#This Row],[Column5]],Table2[a],0)),))</f>
        <v/>
      </c>
      <c r="K256" s="234"/>
      <c r="L256" s="234"/>
      <c r="O256" s="234" t="str">
        <f>IF(Table1[[#This Row],[h_Item Description]]="","",INDEX([1]!db[NB PAJAK],MATCH(Table1[[#This Row],[h_Item Description]],[1]!db[kode],0)))</f>
        <v/>
      </c>
      <c r="Q256" s="237"/>
      <c r="R256" s="238"/>
      <c r="S256" s="238"/>
      <c r="T256" s="237" t="str">
        <f>Table1[[#This Row],[h_hargasetelahdiskon]]</f>
        <v/>
      </c>
      <c r="V256" s="234"/>
      <c r="W256" s="234" t="str">
        <f ca="1">IF(Table1[[#This Row],[Column12]]="","",IF(Table1[[#This Row],[//]]="",INDIRECT(ADDRESS(ROW()-1,COLUMN())),Table1[[#This Row],[//]]))</f>
        <v/>
      </c>
      <c r="X256" s="234" t="str">
        <f ca="1">IF(Table1[[#This Row],[h_id]]="","",COUNTIF(Table1[h_id],Table1[[#This Row],[h_id]]))</f>
        <v/>
      </c>
      <c r="Y256" s="237" t="str">
        <f>IF(Table1[[#This Row],[Column12]]="","",Table1[[#This Row],[Qty]]*Table1[[#This Row],[Column13]])</f>
        <v/>
      </c>
      <c r="Z256" s="237" t="str">
        <f>IF(Table1[[#This Row],[h_hargasebelumdiskon]]="","",IF(Table1[[#This Row],[Column14]]="",0,Table1[[#This Row],[h_hargasebelumdiskon]]*Table1[[#This Row],[Column14]]))</f>
        <v/>
      </c>
      <c r="AA256" s="237" t="str">
        <f>IF(Table1[[#This Row],[h_hargasebelumdiskon]]="","",IF(Table1[[#This Row],[Column15]]="",0,(Table1[[#This Row],[h_hargasebelumdiskon]]-Table1[[#This Row],[h_disc 1]])*Table1[[#This Row],[Column15]]))</f>
        <v/>
      </c>
      <c r="AB256" s="237" t="str">
        <f>IF(Table1[[#This Row],[Column12]]="","",Table1[[#This Row],[h_disc 1]]+Table1[[#This Row],[h_disc 2]])</f>
        <v/>
      </c>
      <c r="AC256" s="237" t="str">
        <f>IF(Table1[[#This Row],[Column12]]="","",Table1[[#This Row],[h_hargasebelumdiskon]]-Table1[[#This Row],[h_diskon]])</f>
        <v/>
      </c>
      <c r="AD256" s="237" t="str">
        <f ca="1">IF(Table1[[#This Row],[//]]="","",SUMIF(Table1[h_id],Table1[[#This Row],[h_id]],Table1[h_hargasetelahdiskon]))</f>
        <v/>
      </c>
      <c r="AF256" s="237" t="str">
        <f>Table1[[#This Row],[Column12]]&amp;Table1[[#This Row],[Unit]]&amp;Table1[[#This Row],[Column13]]</f>
        <v/>
      </c>
      <c r="AG256"/>
      <c r="AH256" s="425">
        <v>3587500</v>
      </c>
      <c r="AI256"/>
    </row>
    <row r="257" spans="1:35">
      <c r="A257" s="234" t="str">
        <f ca="1">IF(Table1[[#This Row],[No. Invoice :]]="","",ROW())</f>
        <v/>
      </c>
      <c r="B257" s="234" t="str">
        <f ca="1">IF(Table1[[#This Row],[Column3]]="","",B$1+COUNT(INDIRECT("B$2:B"&amp;ROW()-1)))</f>
        <v/>
      </c>
      <c r="C257" s="235" t="str">
        <f>IF(Table1[[#This Row],[Column2]]="","",Table1[[#This Row],[Column2]]+C$1-1)</f>
        <v/>
      </c>
      <c r="E257" s="236"/>
      <c r="F257" s="234"/>
      <c r="G257" s="234" t="str">
        <f ca="1">IF(Table1[[#This Row],[h_No. Invoice :]]="","",CONCATENATE("AM"," ",Table1[[#This Row],[h_No. Invoice :]]))</f>
        <v/>
      </c>
      <c r="H257" s="234" t="str">
        <f>IF(Table1[[#This Row],[Column5]]="","",INDEX(Table2[Column1],MATCH(Table1[[#This Row],[Column5]],Table2[a],0)))</f>
        <v/>
      </c>
      <c r="I257" s="234" t="str">
        <f>IF(Table1[[#This Row],[Column3]]=0,"",CONCATENATE(UPPER(Table1[[#This Row],[Column3]])," ",Table1[[#This Row],[Column4]]))</f>
        <v xml:space="preserve"> </v>
      </c>
      <c r="J257" s="234" t="str">
        <f>IF(Table1[[#This Row],[Column5]]="","",INDEX(Table2[e],IF(Table1[[#This Row],[Column5]]="","",MATCH(Table1[[#This Row],[Column5]],Table2[a],0)),))</f>
        <v/>
      </c>
      <c r="K257" s="234"/>
      <c r="L257" s="234"/>
      <c r="O257" s="234" t="str">
        <f>IF(Table1[[#This Row],[h_Item Description]]="","",INDEX([1]!db[NB PAJAK],MATCH(Table1[[#This Row],[h_Item Description]],[1]!db[kode],0)))</f>
        <v/>
      </c>
      <c r="Q257" s="237"/>
      <c r="R257" s="238"/>
      <c r="S257" s="238"/>
      <c r="T257" s="237" t="str">
        <f>Table1[[#This Row],[h_hargasetelahdiskon]]</f>
        <v/>
      </c>
      <c r="V257" s="234"/>
      <c r="W257" s="234" t="str">
        <f ca="1">IF(Table1[[#This Row],[Column12]]="","",IF(Table1[[#This Row],[//]]="",INDIRECT(ADDRESS(ROW()-1,COLUMN())),Table1[[#This Row],[//]]))</f>
        <v/>
      </c>
      <c r="X257" s="234" t="str">
        <f ca="1">IF(Table1[[#This Row],[h_id]]="","",COUNTIF(Table1[h_id],Table1[[#This Row],[h_id]]))</f>
        <v/>
      </c>
      <c r="Y257" s="237" t="str">
        <f>IF(Table1[[#This Row],[Column12]]="","",Table1[[#This Row],[Qty]]*Table1[[#This Row],[Column13]])</f>
        <v/>
      </c>
      <c r="Z257" s="237" t="str">
        <f>IF(Table1[[#This Row],[h_hargasebelumdiskon]]="","",IF(Table1[[#This Row],[Column14]]="",0,Table1[[#This Row],[h_hargasebelumdiskon]]*Table1[[#This Row],[Column14]]))</f>
        <v/>
      </c>
      <c r="AA257" s="237" t="str">
        <f>IF(Table1[[#This Row],[h_hargasebelumdiskon]]="","",IF(Table1[[#This Row],[Column15]]="",0,(Table1[[#This Row],[h_hargasebelumdiskon]]-Table1[[#This Row],[h_disc 1]])*Table1[[#This Row],[Column15]]))</f>
        <v/>
      </c>
      <c r="AB257" s="237" t="str">
        <f>IF(Table1[[#This Row],[Column12]]="","",Table1[[#This Row],[h_disc 1]]+Table1[[#This Row],[h_disc 2]])</f>
        <v/>
      </c>
      <c r="AC257" s="237" t="str">
        <f>IF(Table1[[#This Row],[Column12]]="","",Table1[[#This Row],[h_hargasebelumdiskon]]-Table1[[#This Row],[h_diskon]])</f>
        <v/>
      </c>
      <c r="AD257" s="237" t="str">
        <f ca="1">IF(Table1[[#This Row],[//]]="","",SUMIF(Table1[h_id],Table1[[#This Row],[h_id]],Table1[h_hargasetelahdiskon]))</f>
        <v/>
      </c>
      <c r="AF257" s="237" t="str">
        <f>Table1[[#This Row],[Column12]]&amp;Table1[[#This Row],[Unit]]&amp;Table1[[#This Row],[Column13]]</f>
        <v/>
      </c>
      <c r="AG257"/>
      <c r="AH257" s="425">
        <v>4687200</v>
      </c>
      <c r="AI257"/>
    </row>
    <row r="258" spans="1:35">
      <c r="A258" s="234" t="str">
        <f ca="1">IF(Table1[[#This Row],[No. Invoice :]]="","",ROW())</f>
        <v/>
      </c>
      <c r="B258" s="234" t="str">
        <f ca="1">IF(Table1[[#This Row],[Column3]]="","",B$1+COUNT(INDIRECT("B$2:B"&amp;ROW()-1)))</f>
        <v/>
      </c>
      <c r="C258" s="235" t="str">
        <f>IF(Table1[[#This Row],[Column2]]="","",Table1[[#This Row],[Column2]]+C$1-1)</f>
        <v/>
      </c>
      <c r="E258" s="236"/>
      <c r="F258" s="234"/>
      <c r="G258" s="234" t="str">
        <f ca="1">IF(Table1[[#This Row],[h_No. Invoice :]]="","",CONCATENATE("AM"," ",Table1[[#This Row],[h_No. Invoice :]]))</f>
        <v/>
      </c>
      <c r="H258" s="234" t="str">
        <f>IF(Table1[[#This Row],[Column5]]="","",INDEX(Table2[Column1],MATCH(Table1[[#This Row],[Column5]],Table2[a],0)))</f>
        <v/>
      </c>
      <c r="I258" s="234" t="str">
        <f>IF(Table1[[#This Row],[Column3]]=0,"",CONCATENATE(UPPER(Table1[[#This Row],[Column3]])," ",Table1[[#This Row],[Column4]]))</f>
        <v xml:space="preserve"> </v>
      </c>
      <c r="J258" s="234" t="str">
        <f>IF(Table1[[#This Row],[Column5]]="","",INDEX(Table2[e],IF(Table1[[#This Row],[Column5]]="","",MATCH(Table1[[#This Row],[Column5]],Table2[a],0)),))</f>
        <v/>
      </c>
      <c r="K258" s="234"/>
      <c r="L258" s="234"/>
      <c r="O258" s="234" t="str">
        <f>IF(Table1[[#This Row],[h_Item Description]]="","",INDEX([1]!db[NB PAJAK],MATCH(Table1[[#This Row],[h_Item Description]],[1]!db[kode],0)))</f>
        <v/>
      </c>
      <c r="Q258" s="237"/>
      <c r="R258" s="238"/>
      <c r="S258" s="238"/>
      <c r="T258" s="237" t="str">
        <f>Table1[[#This Row],[h_hargasetelahdiskon]]</f>
        <v/>
      </c>
      <c r="V258" s="234"/>
      <c r="W258" s="234" t="str">
        <f ca="1">IF(Table1[[#This Row],[Column12]]="","",IF(Table1[[#This Row],[//]]="",INDIRECT(ADDRESS(ROW()-1,COLUMN())),Table1[[#This Row],[//]]))</f>
        <v/>
      </c>
      <c r="X258" s="234" t="str">
        <f ca="1">IF(Table1[[#This Row],[h_id]]="","",COUNTIF(Table1[h_id],Table1[[#This Row],[h_id]]))</f>
        <v/>
      </c>
      <c r="Y258" s="237" t="str">
        <f>IF(Table1[[#This Row],[Column12]]="","",Table1[[#This Row],[Qty]]*Table1[[#This Row],[Column13]])</f>
        <v/>
      </c>
      <c r="Z258" s="237" t="str">
        <f>IF(Table1[[#This Row],[h_hargasebelumdiskon]]="","",IF(Table1[[#This Row],[Column14]]="",0,Table1[[#This Row],[h_hargasebelumdiskon]]*Table1[[#This Row],[Column14]]))</f>
        <v/>
      </c>
      <c r="AA258" s="237" t="str">
        <f>IF(Table1[[#This Row],[h_hargasebelumdiskon]]="","",IF(Table1[[#This Row],[Column15]]="",0,(Table1[[#This Row],[h_hargasebelumdiskon]]-Table1[[#This Row],[h_disc 1]])*Table1[[#This Row],[Column15]]))</f>
        <v/>
      </c>
      <c r="AB258" s="237" t="str">
        <f>IF(Table1[[#This Row],[Column12]]="","",Table1[[#This Row],[h_disc 1]]+Table1[[#This Row],[h_disc 2]])</f>
        <v/>
      </c>
      <c r="AC258" s="237" t="str">
        <f>IF(Table1[[#This Row],[Column12]]="","",Table1[[#This Row],[h_hargasebelumdiskon]]-Table1[[#This Row],[h_diskon]])</f>
        <v/>
      </c>
      <c r="AD258" s="237" t="str">
        <f ca="1">IF(Table1[[#This Row],[//]]="","",SUMIF(Table1[h_id],Table1[[#This Row],[h_id]],Table1[h_hargasetelahdiskon]))</f>
        <v/>
      </c>
      <c r="AF258" s="237" t="str">
        <f>Table1[[#This Row],[Column12]]&amp;Table1[[#This Row],[Unit]]&amp;Table1[[#This Row],[Column13]]</f>
        <v/>
      </c>
      <c r="AG258"/>
      <c r="AH258" s="425">
        <v>3231900</v>
      </c>
      <c r="AI258"/>
    </row>
    <row r="259" spans="1:35">
      <c r="A259" s="234" t="str">
        <f ca="1">IF(Table1[[#This Row],[No. Invoice :]]="","",ROW())</f>
        <v/>
      </c>
      <c r="B259" s="234" t="str">
        <f ca="1">IF(Table1[[#This Row],[Column3]]="","",B$1+COUNT(INDIRECT("B$2:B"&amp;ROW()-1)))</f>
        <v/>
      </c>
      <c r="C259" s="235" t="str">
        <f>IF(Table1[[#This Row],[Column2]]="","",Table1[[#This Row],[Column2]]+C$1-1)</f>
        <v/>
      </c>
      <c r="E259" s="236"/>
      <c r="F259" s="234"/>
      <c r="G259" s="234" t="str">
        <f ca="1">IF(Table1[[#This Row],[h_No. Invoice :]]="","",CONCATENATE("AM"," ",Table1[[#This Row],[h_No. Invoice :]]))</f>
        <v/>
      </c>
      <c r="H259" s="234" t="str">
        <f>IF(Table1[[#This Row],[Column5]]="","",INDEX(Table2[Column1],MATCH(Table1[[#This Row],[Column5]],Table2[a],0)))</f>
        <v/>
      </c>
      <c r="I259" s="234" t="str">
        <f>IF(Table1[[#This Row],[Column3]]=0,"",CONCATENATE(UPPER(Table1[[#This Row],[Column3]])," ",Table1[[#This Row],[Column4]]))</f>
        <v xml:space="preserve"> </v>
      </c>
      <c r="J259" s="234" t="str">
        <f>IF(Table1[[#This Row],[Column5]]="","",INDEX(Table2[e],IF(Table1[[#This Row],[Column5]]="","",MATCH(Table1[[#This Row],[Column5]],Table2[a],0)),))</f>
        <v/>
      </c>
      <c r="K259" s="234"/>
      <c r="L259" s="234"/>
      <c r="O259" s="234" t="str">
        <f>IF(Table1[[#This Row],[h_Item Description]]="","",INDEX([1]!db[NB PAJAK],MATCH(Table1[[#This Row],[h_Item Description]],[1]!db[kode],0)))</f>
        <v/>
      </c>
      <c r="Q259" s="237"/>
      <c r="R259" s="238"/>
      <c r="S259" s="238"/>
      <c r="T259" s="237" t="str">
        <f>Table1[[#This Row],[h_hargasetelahdiskon]]</f>
        <v/>
      </c>
      <c r="V259" s="234"/>
      <c r="W259" s="234" t="str">
        <f ca="1">IF(Table1[[#This Row],[Column12]]="","",IF(Table1[[#This Row],[//]]="",INDIRECT(ADDRESS(ROW()-1,COLUMN())),Table1[[#This Row],[//]]))</f>
        <v/>
      </c>
      <c r="X259" s="234" t="str">
        <f ca="1">IF(Table1[[#This Row],[h_id]]="","",COUNTIF(Table1[h_id],Table1[[#This Row],[h_id]]))</f>
        <v/>
      </c>
      <c r="Y259" s="237" t="str">
        <f>IF(Table1[[#This Row],[Column12]]="","",Table1[[#This Row],[Qty]]*Table1[[#This Row],[Column13]])</f>
        <v/>
      </c>
      <c r="Z259" s="237" t="str">
        <f>IF(Table1[[#This Row],[h_hargasebelumdiskon]]="","",IF(Table1[[#This Row],[Column14]]="",0,Table1[[#This Row],[h_hargasebelumdiskon]]*Table1[[#This Row],[Column14]]))</f>
        <v/>
      </c>
      <c r="AA259" s="237" t="str">
        <f>IF(Table1[[#This Row],[h_hargasebelumdiskon]]="","",IF(Table1[[#This Row],[Column15]]="",0,(Table1[[#This Row],[h_hargasebelumdiskon]]-Table1[[#This Row],[h_disc 1]])*Table1[[#This Row],[Column15]]))</f>
        <v/>
      </c>
      <c r="AB259" s="237" t="str">
        <f>IF(Table1[[#This Row],[Column12]]="","",Table1[[#This Row],[h_disc 1]]+Table1[[#This Row],[h_disc 2]])</f>
        <v/>
      </c>
      <c r="AC259" s="237" t="str">
        <f>IF(Table1[[#This Row],[Column12]]="","",Table1[[#This Row],[h_hargasebelumdiskon]]-Table1[[#This Row],[h_diskon]])</f>
        <v/>
      </c>
      <c r="AD259" s="237" t="str">
        <f ca="1">IF(Table1[[#This Row],[//]]="","",SUMIF(Table1[h_id],Table1[[#This Row],[h_id]],Table1[h_hargasetelahdiskon]))</f>
        <v/>
      </c>
      <c r="AF259" s="237" t="str">
        <f>Table1[[#This Row],[Column12]]&amp;Table1[[#This Row],[Unit]]&amp;Table1[[#This Row],[Column13]]</f>
        <v/>
      </c>
      <c r="AG259"/>
      <c r="AH259" s="425">
        <v>7434000</v>
      </c>
      <c r="AI259"/>
    </row>
    <row r="260" spans="1:35">
      <c r="A260" s="234" t="str">
        <f ca="1">IF(Table1[[#This Row],[No. Invoice :]]="","",ROW())</f>
        <v/>
      </c>
      <c r="B260" s="234" t="str">
        <f ca="1">IF(Table1[[#This Row],[Column3]]="","",B$1+COUNT(INDIRECT("B$2:B"&amp;ROW()-1)))</f>
        <v/>
      </c>
      <c r="C260" s="235" t="str">
        <f>IF(Table1[[#This Row],[Column2]]="","",Table1[[#This Row],[Column2]]+C$1-1)</f>
        <v/>
      </c>
      <c r="E260" s="236"/>
      <c r="F260" s="234"/>
      <c r="G260" s="234" t="str">
        <f ca="1">IF(Table1[[#This Row],[h_No. Invoice :]]="","",CONCATENATE("AM"," ",Table1[[#This Row],[h_No. Invoice :]]))</f>
        <v/>
      </c>
      <c r="H260" s="234" t="str">
        <f>IF(Table1[[#This Row],[Column5]]="","",INDEX(Table2[Column1],MATCH(Table1[[#This Row],[Column5]],Table2[a],0)))</f>
        <v/>
      </c>
      <c r="I260" s="234" t="str">
        <f>IF(Table1[[#This Row],[Column3]]=0,"",CONCATENATE(UPPER(Table1[[#This Row],[Column3]])," ",Table1[[#This Row],[Column4]]))</f>
        <v xml:space="preserve"> </v>
      </c>
      <c r="J260" s="234" t="str">
        <f>IF(Table1[[#This Row],[Column5]]="","",INDEX(Table2[e],IF(Table1[[#This Row],[Column5]]="","",MATCH(Table1[[#This Row],[Column5]],Table2[a],0)),))</f>
        <v/>
      </c>
      <c r="K260" s="234"/>
      <c r="L260" s="234"/>
      <c r="O260" s="234" t="str">
        <f>IF(Table1[[#This Row],[h_Item Description]]="","",INDEX([1]!db[NB PAJAK],MATCH(Table1[[#This Row],[h_Item Description]],[1]!db[kode],0)))</f>
        <v/>
      </c>
      <c r="Q260" s="237"/>
      <c r="R260" s="238"/>
      <c r="S260" s="238"/>
      <c r="T260" s="237" t="str">
        <f>Table1[[#This Row],[h_hargasetelahdiskon]]</f>
        <v/>
      </c>
      <c r="V260" s="234"/>
      <c r="W260" s="234" t="str">
        <f ca="1">IF(Table1[[#This Row],[Column12]]="","",IF(Table1[[#This Row],[//]]="",INDIRECT(ADDRESS(ROW()-1,COLUMN())),Table1[[#This Row],[//]]))</f>
        <v/>
      </c>
      <c r="X260" s="234" t="str">
        <f ca="1">IF(Table1[[#This Row],[h_id]]="","",COUNTIF(Table1[h_id],Table1[[#This Row],[h_id]]))</f>
        <v/>
      </c>
      <c r="Y260" s="237" t="str">
        <f>IF(Table1[[#This Row],[Column12]]="","",Table1[[#This Row],[Qty]]*Table1[[#This Row],[Column13]])</f>
        <v/>
      </c>
      <c r="Z260" s="237" t="str">
        <f>IF(Table1[[#This Row],[h_hargasebelumdiskon]]="","",IF(Table1[[#This Row],[Column14]]="",0,Table1[[#This Row],[h_hargasebelumdiskon]]*Table1[[#This Row],[Column14]]))</f>
        <v/>
      </c>
      <c r="AA260" s="237" t="str">
        <f>IF(Table1[[#This Row],[h_hargasebelumdiskon]]="","",IF(Table1[[#This Row],[Column15]]="",0,(Table1[[#This Row],[h_hargasebelumdiskon]]-Table1[[#This Row],[h_disc 1]])*Table1[[#This Row],[Column15]]))</f>
        <v/>
      </c>
      <c r="AB260" s="237" t="str">
        <f>IF(Table1[[#This Row],[Column12]]="","",Table1[[#This Row],[h_disc 1]]+Table1[[#This Row],[h_disc 2]])</f>
        <v/>
      </c>
      <c r="AC260" s="237" t="str">
        <f>IF(Table1[[#This Row],[Column12]]="","",Table1[[#This Row],[h_hargasebelumdiskon]]-Table1[[#This Row],[h_diskon]])</f>
        <v/>
      </c>
      <c r="AD260" s="237" t="str">
        <f ca="1">IF(Table1[[#This Row],[//]]="","",SUMIF(Table1[h_id],Table1[[#This Row],[h_id]],Table1[h_hargasetelahdiskon]))</f>
        <v/>
      </c>
      <c r="AF260" s="237" t="str">
        <f>Table1[[#This Row],[Column12]]&amp;Table1[[#This Row],[Unit]]&amp;Table1[[#This Row],[Column13]]</f>
        <v/>
      </c>
      <c r="AG260"/>
      <c r="AH260" s="425">
        <v>7434000</v>
      </c>
      <c r="AI260"/>
    </row>
    <row r="261" spans="1:35">
      <c r="A261" s="234" t="str">
        <f ca="1">IF(Table1[[#This Row],[No. Invoice :]]="","",ROW())</f>
        <v/>
      </c>
      <c r="B261" s="234" t="str">
        <f ca="1">IF(Table1[[#This Row],[Column3]]="","",B$1+COUNT(INDIRECT("B$2:B"&amp;ROW()-1)))</f>
        <v/>
      </c>
      <c r="C261" s="235" t="str">
        <f>IF(Table1[[#This Row],[Column2]]="","",Table1[[#This Row],[Column2]]+C$1-1)</f>
        <v/>
      </c>
      <c r="E261" s="236"/>
      <c r="F261" s="234"/>
      <c r="G261" s="234" t="str">
        <f ca="1">IF(Table1[[#This Row],[h_No. Invoice :]]="","",CONCATENATE("AM"," ",Table1[[#This Row],[h_No. Invoice :]]))</f>
        <v/>
      </c>
      <c r="H261" s="234" t="str">
        <f>IF(Table1[[#This Row],[Column5]]="","",INDEX(Table2[Column1],MATCH(Table1[[#This Row],[Column5]],Table2[a],0)))</f>
        <v/>
      </c>
      <c r="I261" s="234" t="str">
        <f>IF(Table1[[#This Row],[Column3]]=0,"",CONCATENATE(UPPER(Table1[[#This Row],[Column3]])," ",Table1[[#This Row],[Column4]]))</f>
        <v xml:space="preserve"> </v>
      </c>
      <c r="J261" s="234" t="str">
        <f>IF(Table1[[#This Row],[Column5]]="","",INDEX(Table2[e],IF(Table1[[#This Row],[Column5]]="","",MATCH(Table1[[#This Row],[Column5]],Table2[a],0)),))</f>
        <v/>
      </c>
      <c r="K261" s="234"/>
      <c r="L261" s="234"/>
      <c r="O261" s="234" t="str">
        <f>IF(Table1[[#This Row],[h_Item Description]]="","",INDEX([1]!db[NB PAJAK],MATCH(Table1[[#This Row],[h_Item Description]],[1]!db[kode],0)))</f>
        <v/>
      </c>
      <c r="Q261" s="237"/>
      <c r="R261" s="238"/>
      <c r="S261" s="238"/>
      <c r="T261" s="237" t="str">
        <f>Table1[[#This Row],[h_hargasetelahdiskon]]</f>
        <v/>
      </c>
      <c r="V261" s="234"/>
      <c r="W261" s="234" t="str">
        <f ca="1">IF(Table1[[#This Row],[Column12]]="","",IF(Table1[[#This Row],[//]]="",INDIRECT(ADDRESS(ROW()-1,COLUMN())),Table1[[#This Row],[//]]))</f>
        <v/>
      </c>
      <c r="X261" s="234" t="str">
        <f ca="1">IF(Table1[[#This Row],[h_id]]="","",COUNTIF(Table1[h_id],Table1[[#This Row],[h_id]]))</f>
        <v/>
      </c>
      <c r="Y261" s="237" t="str">
        <f>IF(Table1[[#This Row],[Column12]]="","",Table1[[#This Row],[Qty]]*Table1[[#This Row],[Column13]])</f>
        <v/>
      </c>
      <c r="Z261" s="237" t="str">
        <f>IF(Table1[[#This Row],[h_hargasebelumdiskon]]="","",IF(Table1[[#This Row],[Column14]]="",0,Table1[[#This Row],[h_hargasebelumdiskon]]*Table1[[#This Row],[Column14]]))</f>
        <v/>
      </c>
      <c r="AA261" s="237" t="str">
        <f>IF(Table1[[#This Row],[h_hargasebelumdiskon]]="","",IF(Table1[[#This Row],[Column15]]="",0,(Table1[[#This Row],[h_hargasebelumdiskon]]-Table1[[#This Row],[h_disc 1]])*Table1[[#This Row],[Column15]]))</f>
        <v/>
      </c>
      <c r="AB261" s="237" t="str">
        <f>IF(Table1[[#This Row],[Column12]]="","",Table1[[#This Row],[h_disc 1]]+Table1[[#This Row],[h_disc 2]])</f>
        <v/>
      </c>
      <c r="AC261" s="237" t="str">
        <f>IF(Table1[[#This Row],[Column12]]="","",Table1[[#This Row],[h_hargasebelumdiskon]]-Table1[[#This Row],[h_diskon]])</f>
        <v/>
      </c>
      <c r="AD261" s="237" t="str">
        <f ca="1">IF(Table1[[#This Row],[//]]="","",SUMIF(Table1[h_id],Table1[[#This Row],[h_id]],Table1[h_hargasetelahdiskon]))</f>
        <v/>
      </c>
      <c r="AF261" s="237" t="str">
        <f>Table1[[#This Row],[Column12]]&amp;Table1[[#This Row],[Unit]]&amp;Table1[[#This Row],[Column13]]</f>
        <v/>
      </c>
      <c r="AG261"/>
      <c r="AH261" s="425">
        <v>1483650</v>
      </c>
      <c r="AI261"/>
    </row>
    <row r="262" spans="1:35">
      <c r="A262" s="234" t="str">
        <f ca="1">IF(Table1[[#This Row],[No. Invoice :]]="","",ROW())</f>
        <v/>
      </c>
      <c r="B262" s="234" t="str">
        <f ca="1">IF(Table1[[#This Row],[Column3]]="","",B$1+COUNT(INDIRECT("B$2:B"&amp;ROW()-1)))</f>
        <v/>
      </c>
      <c r="C262" s="235" t="str">
        <f>IF(Table1[[#This Row],[Column2]]="","",Table1[[#This Row],[Column2]]+C$1-1)</f>
        <v/>
      </c>
      <c r="E262" s="236"/>
      <c r="F262" s="234"/>
      <c r="G262" s="234" t="str">
        <f ca="1">IF(Table1[[#This Row],[h_No. Invoice :]]="","",CONCATENATE("AM"," ",Table1[[#This Row],[h_No. Invoice :]]))</f>
        <v/>
      </c>
      <c r="H262" s="234" t="str">
        <f>IF(Table1[[#This Row],[Column5]]="","",INDEX(Table2[Column1],MATCH(Table1[[#This Row],[Column5]],Table2[a],0)))</f>
        <v/>
      </c>
      <c r="I262" s="234" t="str">
        <f>IF(Table1[[#This Row],[Column3]]=0,"",CONCATENATE(UPPER(Table1[[#This Row],[Column3]])," ",Table1[[#This Row],[Column4]]))</f>
        <v xml:space="preserve"> </v>
      </c>
      <c r="J262" s="234" t="str">
        <f>IF(Table1[[#This Row],[Column5]]="","",INDEX(Table2[e],IF(Table1[[#This Row],[Column5]]="","",MATCH(Table1[[#This Row],[Column5]],Table2[a],0)),))</f>
        <v/>
      </c>
      <c r="K262" s="234"/>
      <c r="L262" s="234"/>
      <c r="O262" s="234" t="str">
        <f>IF(Table1[[#This Row],[h_Item Description]]="","",INDEX([1]!db[NB PAJAK],MATCH(Table1[[#This Row],[h_Item Description]],[1]!db[kode],0)))</f>
        <v/>
      </c>
      <c r="Q262" s="237"/>
      <c r="R262" s="238"/>
      <c r="S262" s="238"/>
      <c r="T262" s="237" t="str">
        <f>Table1[[#This Row],[h_hargasetelahdiskon]]</f>
        <v/>
      </c>
      <c r="V262" s="234"/>
      <c r="W262" s="234" t="str">
        <f ca="1">IF(Table1[[#This Row],[Column12]]="","",IF(Table1[[#This Row],[//]]="",INDIRECT(ADDRESS(ROW()-1,COLUMN())),Table1[[#This Row],[//]]))</f>
        <v/>
      </c>
      <c r="X262" s="234" t="str">
        <f ca="1">IF(Table1[[#This Row],[h_id]]="","",COUNTIF(Table1[h_id],Table1[[#This Row],[h_id]]))</f>
        <v/>
      </c>
      <c r="Y262" s="237" t="str">
        <f>IF(Table1[[#This Row],[Column12]]="","",Table1[[#This Row],[Qty]]*Table1[[#This Row],[Column13]])</f>
        <v/>
      </c>
      <c r="Z262" s="237" t="str">
        <f>IF(Table1[[#This Row],[h_hargasebelumdiskon]]="","",IF(Table1[[#This Row],[Column14]]="",0,Table1[[#This Row],[h_hargasebelumdiskon]]*Table1[[#This Row],[Column14]]))</f>
        <v/>
      </c>
      <c r="AA262" s="237" t="str">
        <f>IF(Table1[[#This Row],[h_hargasebelumdiskon]]="","",IF(Table1[[#This Row],[Column15]]="",0,(Table1[[#This Row],[h_hargasebelumdiskon]]-Table1[[#This Row],[h_disc 1]])*Table1[[#This Row],[Column15]]))</f>
        <v/>
      </c>
      <c r="AB262" s="237" t="str">
        <f>IF(Table1[[#This Row],[Column12]]="","",Table1[[#This Row],[h_disc 1]]+Table1[[#This Row],[h_disc 2]])</f>
        <v/>
      </c>
      <c r="AC262" s="237" t="str">
        <f>IF(Table1[[#This Row],[Column12]]="","",Table1[[#This Row],[h_hargasebelumdiskon]]-Table1[[#This Row],[h_diskon]])</f>
        <v/>
      </c>
      <c r="AD262" s="237" t="str">
        <f ca="1">IF(Table1[[#This Row],[//]]="","",SUMIF(Table1[h_id],Table1[[#This Row],[h_id]],Table1[h_hargasetelahdiskon]))</f>
        <v/>
      </c>
      <c r="AF262" s="237" t="str">
        <f>Table1[[#This Row],[Column12]]&amp;Table1[[#This Row],[Unit]]&amp;Table1[[#This Row],[Column13]]</f>
        <v/>
      </c>
      <c r="AG262"/>
      <c r="AH262" s="425">
        <v>3696000</v>
      </c>
      <c r="AI262"/>
    </row>
    <row r="263" spans="1:35">
      <c r="A263" s="234" t="str">
        <f ca="1">IF(Table1[[#This Row],[No. Invoice :]]="","",ROW())</f>
        <v/>
      </c>
      <c r="B263" s="234" t="str">
        <f ca="1">IF(Table1[[#This Row],[Column3]]="","",B$1+COUNT(INDIRECT("B$2:B"&amp;ROW()-1)))</f>
        <v/>
      </c>
      <c r="C263" s="235" t="str">
        <f>IF(Table1[[#This Row],[Column2]]="","",Table1[[#This Row],[Column2]]+C$1-1)</f>
        <v/>
      </c>
      <c r="E263" s="236"/>
      <c r="F263" s="234"/>
      <c r="G263" s="234" t="str">
        <f ca="1">IF(Table1[[#This Row],[h_No. Invoice :]]="","",CONCATENATE("AM"," ",Table1[[#This Row],[h_No. Invoice :]]))</f>
        <v/>
      </c>
      <c r="H263" s="234" t="str">
        <f>IF(Table1[[#This Row],[Column5]]="","",INDEX(Table2[Column1],MATCH(Table1[[#This Row],[Column5]],Table2[a],0)))</f>
        <v/>
      </c>
      <c r="I263" s="234" t="str">
        <f>IF(Table1[[#This Row],[Column3]]=0,"",CONCATENATE(UPPER(Table1[[#This Row],[Column3]])," ",Table1[[#This Row],[Column4]]))</f>
        <v xml:space="preserve"> </v>
      </c>
      <c r="J263" s="234" t="str">
        <f>IF(Table1[[#This Row],[Column5]]="","",INDEX(Table2[e],IF(Table1[[#This Row],[Column5]]="","",MATCH(Table1[[#This Row],[Column5]],Table2[a],0)),))</f>
        <v/>
      </c>
      <c r="K263" s="234"/>
      <c r="L263" s="234"/>
      <c r="O263" s="234" t="str">
        <f>IF(Table1[[#This Row],[h_Item Description]]="","",INDEX([1]!db[NB PAJAK],MATCH(Table1[[#This Row],[h_Item Description]],[1]!db[kode],0)))</f>
        <v/>
      </c>
      <c r="Q263" s="237"/>
      <c r="R263" s="238"/>
      <c r="S263" s="238"/>
      <c r="T263" s="237" t="str">
        <f>Table1[[#This Row],[h_hargasetelahdiskon]]</f>
        <v/>
      </c>
      <c r="V263" s="234"/>
      <c r="W263" s="234" t="str">
        <f ca="1">IF(Table1[[#This Row],[Column12]]="","",IF(Table1[[#This Row],[//]]="",INDIRECT(ADDRESS(ROW()-1,COLUMN())),Table1[[#This Row],[//]]))</f>
        <v/>
      </c>
      <c r="X263" s="234" t="str">
        <f ca="1">IF(Table1[[#This Row],[h_id]]="","",COUNTIF(Table1[h_id],Table1[[#This Row],[h_id]]))</f>
        <v/>
      </c>
      <c r="Y263" s="237" t="str">
        <f>IF(Table1[[#This Row],[Column12]]="","",Table1[[#This Row],[Qty]]*Table1[[#This Row],[Column13]])</f>
        <v/>
      </c>
      <c r="Z263" s="237" t="str">
        <f>IF(Table1[[#This Row],[h_hargasebelumdiskon]]="","",IF(Table1[[#This Row],[Column14]]="",0,Table1[[#This Row],[h_hargasebelumdiskon]]*Table1[[#This Row],[Column14]]))</f>
        <v/>
      </c>
      <c r="AA263" s="237" t="str">
        <f>IF(Table1[[#This Row],[h_hargasebelumdiskon]]="","",IF(Table1[[#This Row],[Column15]]="",0,(Table1[[#This Row],[h_hargasebelumdiskon]]-Table1[[#This Row],[h_disc 1]])*Table1[[#This Row],[Column15]]))</f>
        <v/>
      </c>
      <c r="AB263" s="237" t="str">
        <f>IF(Table1[[#This Row],[Column12]]="","",Table1[[#This Row],[h_disc 1]]+Table1[[#This Row],[h_disc 2]])</f>
        <v/>
      </c>
      <c r="AC263" s="237" t="str">
        <f>IF(Table1[[#This Row],[Column12]]="","",Table1[[#This Row],[h_hargasebelumdiskon]]-Table1[[#This Row],[h_diskon]])</f>
        <v/>
      </c>
      <c r="AD263" s="237" t="str">
        <f ca="1">IF(Table1[[#This Row],[//]]="","",SUMIF(Table1[h_id],Table1[[#This Row],[h_id]],Table1[h_hargasetelahdiskon]))</f>
        <v/>
      </c>
      <c r="AF263" s="237" t="str">
        <f>Table1[[#This Row],[Column12]]&amp;Table1[[#This Row],[Unit]]&amp;Table1[[#This Row],[Column13]]</f>
        <v/>
      </c>
      <c r="AG263"/>
      <c r="AH263" s="425">
        <v>1877400</v>
      </c>
      <c r="AI263"/>
    </row>
    <row r="264" spans="1:35">
      <c r="A264" s="234" t="str">
        <f ca="1">IF(Table1[[#This Row],[No. Invoice :]]="","",ROW())</f>
        <v/>
      </c>
      <c r="B264" s="416" t="str">
        <f ca="1">IF(Table1[[#This Row],[Column3]]="","",B$1+COUNT(INDIRECT("B$2:B"&amp;ROW()-1)))</f>
        <v/>
      </c>
      <c r="C264" s="235" t="str">
        <f>IF(Table1[[#This Row],[Column2]]="","",Table1[[#This Row],[Column2]]+C$1-1)</f>
        <v/>
      </c>
      <c r="D264" s="417"/>
      <c r="E264" s="418"/>
      <c r="F264" s="416"/>
      <c r="G264" s="234" t="str">
        <f ca="1">IF(Table1[[#This Row],[h_No. Invoice :]]="","",CONCATENATE("AM"," ",Table1[[#This Row],[h_No. Invoice :]]))</f>
        <v/>
      </c>
      <c r="H264" s="416" t="str">
        <f>IF(Table1[[#This Row],[Column5]]="","",INDEX(Table2[Column1],MATCH(Table1[[#This Row],[Column5]],Table2[a],0)))</f>
        <v/>
      </c>
      <c r="I264" s="234" t="str">
        <f>IF(Table1[[#This Row],[Column3]]=0,"",CONCATENATE(UPPER(Table1[[#This Row],[Column3]])," ",Table1[[#This Row],[Column4]]))</f>
        <v xml:space="preserve"> </v>
      </c>
      <c r="J264" s="234" t="str">
        <f>IF(Table1[[#This Row],[Column5]]="","",INDEX(Table2[e],IF(Table1[[#This Row],[Column5]]="","",MATCH(Table1[[#This Row],[Column5]],Table2[a],0)),))</f>
        <v/>
      </c>
      <c r="K264" s="234"/>
      <c r="L264" s="234"/>
      <c r="N264" s="416"/>
      <c r="O264" s="416" t="str">
        <f>IF(Table1[[#This Row],[h_Item Description]]="","",INDEX([1]!db[NB PAJAK],MATCH(Table1[[#This Row],[h_Item Description]],[1]!db[kode],0)))</f>
        <v/>
      </c>
      <c r="Q264" s="237"/>
      <c r="R264" s="238"/>
      <c r="S264" s="238"/>
      <c r="T264" s="419" t="str">
        <f>Table1[[#This Row],[h_hargasetelahdiskon]]</f>
        <v/>
      </c>
      <c r="V264" s="234"/>
      <c r="W264" s="234" t="str">
        <f ca="1">IF(Table1[[#This Row],[Column12]]="","",IF(Table1[[#This Row],[//]]="",INDIRECT(ADDRESS(ROW()-1,COLUMN())),Table1[[#This Row],[//]]))</f>
        <v/>
      </c>
      <c r="X264" s="234" t="str">
        <f ca="1">IF(Table1[[#This Row],[h_id]]="","",COUNTIF(Table1[h_id],Table1[[#This Row],[h_id]]))</f>
        <v/>
      </c>
      <c r="Y264" s="237" t="str">
        <f>IF(Table1[[#This Row],[Column12]]="","",Table1[[#This Row],[Qty]]*Table1[[#This Row],[Column13]])</f>
        <v/>
      </c>
      <c r="Z264" s="419" t="str">
        <f>IF(Table1[[#This Row],[h_hargasebelumdiskon]]="","",IF(Table1[[#This Row],[Column14]]="",0,Table1[[#This Row],[h_hargasebelumdiskon]]*Table1[[#This Row],[Column14]]))</f>
        <v/>
      </c>
      <c r="AA264" s="419" t="str">
        <f>IF(Table1[[#This Row],[h_hargasebelumdiskon]]="","",IF(Table1[[#This Row],[Column15]]="",0,(Table1[[#This Row],[h_hargasebelumdiskon]]-Table1[[#This Row],[h_disc 1]])*Table1[[#This Row],[Column15]]))</f>
        <v/>
      </c>
      <c r="AB264" s="237" t="str">
        <f>IF(Table1[[#This Row],[Column12]]="","",Table1[[#This Row],[h_disc 1]]+Table1[[#This Row],[h_disc 2]])</f>
        <v/>
      </c>
      <c r="AC264" s="237" t="str">
        <f>IF(Table1[[#This Row],[Column12]]="","",Table1[[#This Row],[h_hargasebelumdiskon]]-Table1[[#This Row],[h_diskon]])</f>
        <v/>
      </c>
      <c r="AD264" s="237" t="str">
        <f ca="1">IF(Table1[[#This Row],[//]]="","",SUMIF(Table1[h_id],Table1[[#This Row],[h_id]],Table1[h_hargasetelahdiskon]))</f>
        <v/>
      </c>
      <c r="AF264" s="237" t="str">
        <f>Table1[[#This Row],[Column12]]&amp;Table1[[#This Row],[Unit]]&amp;Table1[[#This Row],[Column13]]</f>
        <v/>
      </c>
      <c r="AG264"/>
      <c r="AH264" s="425"/>
      <c r="AI264"/>
    </row>
    <row r="265" spans="1:35">
      <c r="A265" s="234" t="str">
        <f ca="1">IF(Table1[[#This Row],[No. Invoice :]]="","",ROW())</f>
        <v/>
      </c>
      <c r="B265" s="234" t="str">
        <f ca="1">IF(Table1[[#This Row],[Column3]]="","",B$1+COUNT(INDIRECT("B$2:B"&amp;ROW()-1)))</f>
        <v/>
      </c>
      <c r="C265" s="235" t="str">
        <f>IF(Table1[[#This Row],[Column2]]="","",Table1[[#This Row],[Column2]]+C$1-1)</f>
        <v/>
      </c>
      <c r="E265" s="236"/>
      <c r="F265" s="234"/>
      <c r="G265" s="234" t="str">
        <f ca="1">IF(Table1[[#This Row],[h_No. Invoice :]]="","",CONCATENATE("AM"," ",Table1[[#This Row],[h_No. Invoice :]]))</f>
        <v/>
      </c>
      <c r="H265" s="234" t="str">
        <f>IF(Table1[[#This Row],[Column5]]="","",INDEX(Table2[Column1],MATCH(Table1[[#This Row],[Column5]],Table2[a],0)))</f>
        <v/>
      </c>
      <c r="I265" s="234" t="str">
        <f>IF(Table1[[#This Row],[Column3]]=0,"",CONCATENATE(UPPER(Table1[[#This Row],[Column3]])," ",Table1[[#This Row],[Column4]]))</f>
        <v xml:space="preserve"> </v>
      </c>
      <c r="J265" s="234" t="str">
        <f>IF(Table1[[#This Row],[Column5]]="","",INDEX(Table2[e],IF(Table1[[#This Row],[Column5]]="","",MATCH(Table1[[#This Row],[Column5]],Table2[a],0)),))</f>
        <v/>
      </c>
      <c r="K265" s="234"/>
      <c r="L265" s="234"/>
      <c r="O265" s="234" t="str">
        <f>IF(Table1[[#This Row],[h_Item Description]]="","",INDEX([1]!db[NB PAJAK],MATCH(Table1[[#This Row],[h_Item Description]],[1]!db[kode],0)))</f>
        <v/>
      </c>
      <c r="Q265" s="237"/>
      <c r="R265" s="238"/>
      <c r="S265" s="238"/>
      <c r="T265" s="237" t="str">
        <f>Table1[[#This Row],[h_hargasetelahdiskon]]</f>
        <v/>
      </c>
      <c r="V265" s="234"/>
      <c r="W265" s="234" t="str">
        <f ca="1">IF(Table1[[#This Row],[Column12]]="","",IF(Table1[[#This Row],[//]]="",INDIRECT(ADDRESS(ROW()-1,COLUMN())),Table1[[#This Row],[//]]))</f>
        <v/>
      </c>
      <c r="X265" s="234" t="str">
        <f ca="1">IF(Table1[[#This Row],[h_id]]="","",COUNTIF(Table1[h_id],Table1[[#This Row],[h_id]]))</f>
        <v/>
      </c>
      <c r="Y265" s="237" t="str">
        <f>IF(Table1[[#This Row],[Column12]]="","",Table1[[#This Row],[Qty]]*Table1[[#This Row],[Column13]])</f>
        <v/>
      </c>
      <c r="Z265" s="237" t="str">
        <f>IF(Table1[[#This Row],[h_hargasebelumdiskon]]="","",IF(Table1[[#This Row],[Column14]]="",0,Table1[[#This Row],[h_hargasebelumdiskon]]*Table1[[#This Row],[Column14]]))</f>
        <v/>
      </c>
      <c r="AA265" s="237" t="str">
        <f>IF(Table1[[#This Row],[h_hargasebelumdiskon]]="","",IF(Table1[[#This Row],[Column15]]="",0,(Table1[[#This Row],[h_hargasebelumdiskon]]-Table1[[#This Row],[h_disc 1]])*Table1[[#This Row],[Column15]]))</f>
        <v/>
      </c>
      <c r="AB265" s="237" t="str">
        <f>IF(Table1[[#This Row],[Column12]]="","",Table1[[#This Row],[h_disc 1]]+Table1[[#This Row],[h_disc 2]])</f>
        <v/>
      </c>
      <c r="AC265" s="237" t="str">
        <f>IF(Table1[[#This Row],[Column12]]="","",Table1[[#This Row],[h_hargasebelumdiskon]]-Table1[[#This Row],[h_diskon]])</f>
        <v/>
      </c>
      <c r="AD265" s="237" t="str">
        <f ca="1">IF(Table1[[#This Row],[//]]="","",SUMIF(Table1[h_id],Table1[[#This Row],[h_id]],Table1[h_hargasetelahdiskon]))</f>
        <v/>
      </c>
      <c r="AF265" s="237" t="str">
        <f>Table1[[#This Row],[Column12]]&amp;Table1[[#This Row],[Unit]]&amp;Table1[[#This Row],[Column13]]</f>
        <v/>
      </c>
      <c r="AG265"/>
      <c r="AH265" s="425">
        <v>1877400</v>
      </c>
      <c r="AI265"/>
    </row>
    <row r="266" spans="1:35">
      <c r="A266" s="234" t="str">
        <f ca="1">IF(Table1[[#This Row],[No. Invoice :]]="","",ROW())</f>
        <v/>
      </c>
      <c r="B266" s="234" t="str">
        <f ca="1">IF(Table1[[#This Row],[Column3]]="","",B$1+COUNT(INDIRECT("B$2:B"&amp;ROW()-1)))</f>
        <v/>
      </c>
      <c r="C266" s="235" t="str">
        <f>IF(Table1[[#This Row],[Column2]]="","",Table1[[#This Row],[Column2]]+C$1-1)</f>
        <v/>
      </c>
      <c r="E266" s="236"/>
      <c r="F266" s="234"/>
      <c r="G266" s="234" t="str">
        <f ca="1">IF(Table1[[#This Row],[h_No. Invoice :]]="","",CONCATENATE("AM"," ",Table1[[#This Row],[h_No. Invoice :]]))</f>
        <v/>
      </c>
      <c r="H266" s="234" t="str">
        <f>IF(Table1[[#This Row],[Column5]]="","",INDEX(Table2[Column1],MATCH(Table1[[#This Row],[Column5]],Table2[a],0)))</f>
        <v/>
      </c>
      <c r="I266" s="234" t="str">
        <f>IF(Table1[[#This Row],[Column3]]=0,"",CONCATENATE(UPPER(Table1[[#This Row],[Column3]])," ",Table1[[#This Row],[Column4]]))</f>
        <v xml:space="preserve"> </v>
      </c>
      <c r="J266" s="234" t="str">
        <f>IF(Table1[[#This Row],[Column5]]="","",INDEX(Table2[e],IF(Table1[[#This Row],[Column5]]="","",MATCH(Table1[[#This Row],[Column5]],Table2[a],0)),))</f>
        <v/>
      </c>
      <c r="K266" s="234"/>
      <c r="L266" s="234"/>
      <c r="O266" s="234" t="str">
        <f>IF(Table1[[#This Row],[h_Item Description]]="","",INDEX([1]!db[NB PAJAK],MATCH(Table1[[#This Row],[h_Item Description]],[1]!db[kode],0)))</f>
        <v/>
      </c>
      <c r="Q266" s="237"/>
      <c r="R266" s="238"/>
      <c r="S266" s="238"/>
      <c r="T266" s="237" t="str">
        <f>Table1[[#This Row],[h_hargasetelahdiskon]]</f>
        <v/>
      </c>
      <c r="V266" s="234"/>
      <c r="W266" s="234" t="str">
        <f ca="1">IF(Table1[[#This Row],[Column12]]="","",IF(Table1[[#This Row],[//]]="",INDIRECT(ADDRESS(ROW()-1,COLUMN())),Table1[[#This Row],[//]]))</f>
        <v/>
      </c>
      <c r="X266" s="234" t="str">
        <f ca="1">IF(Table1[[#This Row],[h_id]]="","",COUNTIF(Table1[h_id],Table1[[#This Row],[h_id]]))</f>
        <v/>
      </c>
      <c r="Y266" s="237" t="str">
        <f>IF(Table1[[#This Row],[Column12]]="","",Table1[[#This Row],[Qty]]*Table1[[#This Row],[Column13]])</f>
        <v/>
      </c>
      <c r="Z266" s="237" t="str">
        <f>IF(Table1[[#This Row],[h_hargasebelumdiskon]]="","",IF(Table1[[#This Row],[Column14]]="",0,Table1[[#This Row],[h_hargasebelumdiskon]]*Table1[[#This Row],[Column14]]))</f>
        <v/>
      </c>
      <c r="AA266" s="237" t="str">
        <f>IF(Table1[[#This Row],[h_hargasebelumdiskon]]="","",IF(Table1[[#This Row],[Column15]]="",0,(Table1[[#This Row],[h_hargasebelumdiskon]]-Table1[[#This Row],[h_disc 1]])*Table1[[#This Row],[Column15]]))</f>
        <v/>
      </c>
      <c r="AB266" s="237" t="str">
        <f>IF(Table1[[#This Row],[Column12]]="","",Table1[[#This Row],[h_disc 1]]+Table1[[#This Row],[h_disc 2]])</f>
        <v/>
      </c>
      <c r="AC266" s="237" t="str">
        <f>IF(Table1[[#This Row],[Column12]]="","",Table1[[#This Row],[h_hargasebelumdiskon]]-Table1[[#This Row],[h_diskon]])</f>
        <v/>
      </c>
      <c r="AD266" s="237" t="str">
        <f ca="1">IF(Table1[[#This Row],[//]]="","",SUMIF(Table1[h_id],Table1[[#This Row],[h_id]],Table1[h_hargasetelahdiskon]))</f>
        <v/>
      </c>
      <c r="AF266" s="237" t="str">
        <f>Table1[[#This Row],[Column12]]&amp;Table1[[#This Row],[Unit]]&amp;Table1[[#This Row],[Column13]]</f>
        <v/>
      </c>
      <c r="AG266"/>
      <c r="AH266" s="425">
        <f>SUM(AH249:AH265)</f>
        <v>82873000</v>
      </c>
      <c r="AI266"/>
    </row>
    <row r="267" spans="1:35">
      <c r="A267" s="234" t="str">
        <f ca="1">IF(Table1[[#This Row],[No. Invoice :]]="","",ROW())</f>
        <v/>
      </c>
      <c r="B267" s="234" t="str">
        <f ca="1">IF(Table1[[#This Row],[Column3]]="","",B$1+COUNT(INDIRECT("B$2:B"&amp;ROW()-1)))</f>
        <v/>
      </c>
      <c r="C267" s="235" t="str">
        <f>IF(Table1[[#This Row],[Column2]]="","",Table1[[#This Row],[Column2]]+C$1-1)</f>
        <v/>
      </c>
      <c r="E267" s="236"/>
      <c r="F267" s="234"/>
      <c r="G267" s="234" t="str">
        <f ca="1">IF(Table1[[#This Row],[h_No. Invoice :]]="","",CONCATENATE("AM"," ",Table1[[#This Row],[h_No. Invoice :]]))</f>
        <v/>
      </c>
      <c r="H267" s="234" t="str">
        <f>IF(Table1[[#This Row],[Column5]]="","",INDEX(Table2[Column1],MATCH(Table1[[#This Row],[Column5]],Table2[a],0)))</f>
        <v/>
      </c>
      <c r="I267" s="234" t="str">
        <f>IF(Table1[[#This Row],[Column3]]=0,"",CONCATENATE(UPPER(Table1[[#This Row],[Column3]])," ",Table1[[#This Row],[Column4]]))</f>
        <v xml:space="preserve"> </v>
      </c>
      <c r="J267" s="234" t="str">
        <f>IF(Table1[[#This Row],[Column5]]="","",INDEX(Table2[e],IF(Table1[[#This Row],[Column5]]="","",MATCH(Table1[[#This Row],[Column5]],Table2[a],0)),))</f>
        <v/>
      </c>
      <c r="K267" s="234"/>
      <c r="L267" s="234"/>
      <c r="O267" s="234" t="str">
        <f>IF(Table1[[#This Row],[h_Item Description]]="","",INDEX([1]!db[NB PAJAK],MATCH(Table1[[#This Row],[h_Item Description]],[1]!db[kode],0)))</f>
        <v/>
      </c>
      <c r="Q267" s="237"/>
      <c r="R267" s="238"/>
      <c r="S267" s="238"/>
      <c r="T267" s="237" t="str">
        <f>Table1[[#This Row],[h_hargasetelahdiskon]]</f>
        <v/>
      </c>
      <c r="V267" s="234"/>
      <c r="W267" s="234" t="str">
        <f ca="1">IF(Table1[[#This Row],[Column12]]="","",IF(Table1[[#This Row],[//]]="",INDIRECT(ADDRESS(ROW()-1,COLUMN())),Table1[[#This Row],[//]]))</f>
        <v/>
      </c>
      <c r="X267" s="234" t="str">
        <f ca="1">IF(Table1[[#This Row],[h_id]]="","",COUNTIF(Table1[h_id],Table1[[#This Row],[h_id]]))</f>
        <v/>
      </c>
      <c r="Y267" s="237" t="str">
        <f>IF(Table1[[#This Row],[Column12]]="","",Table1[[#This Row],[Qty]]*Table1[[#This Row],[Column13]])</f>
        <v/>
      </c>
      <c r="Z267" s="237" t="str">
        <f>IF(Table1[[#This Row],[h_hargasebelumdiskon]]="","",IF(Table1[[#This Row],[Column14]]="",0,Table1[[#This Row],[h_hargasebelumdiskon]]*Table1[[#This Row],[Column14]]))</f>
        <v/>
      </c>
      <c r="AA267" s="237" t="str">
        <f>IF(Table1[[#This Row],[h_hargasebelumdiskon]]="","",IF(Table1[[#This Row],[Column15]]="",0,(Table1[[#This Row],[h_hargasebelumdiskon]]-Table1[[#This Row],[h_disc 1]])*Table1[[#This Row],[Column15]]))</f>
        <v/>
      </c>
      <c r="AB267" s="237" t="str">
        <f>IF(Table1[[#This Row],[Column12]]="","",Table1[[#This Row],[h_disc 1]]+Table1[[#This Row],[h_disc 2]])</f>
        <v/>
      </c>
      <c r="AC267" s="237" t="str">
        <f>IF(Table1[[#This Row],[Column12]]="","",Table1[[#This Row],[h_hargasebelumdiskon]]-Table1[[#This Row],[h_diskon]])</f>
        <v/>
      </c>
      <c r="AD267" s="237" t="str">
        <f ca="1">IF(Table1[[#This Row],[//]]="","",SUMIF(Table1[h_id],Table1[[#This Row],[h_id]],Table1[h_hargasetelahdiskon]))</f>
        <v/>
      </c>
      <c r="AF267" s="237" t="str">
        <f>Table1[[#This Row],[Column12]]&amp;Table1[[#This Row],[Unit]]&amp;Table1[[#This Row],[Column13]]</f>
        <v/>
      </c>
      <c r="AG267"/>
      <c r="AH267"/>
      <c r="AI267"/>
    </row>
    <row r="268" spans="1:35">
      <c r="A268" s="234" t="str">
        <f ca="1">IF(Table1[[#This Row],[No. Invoice :]]="","",ROW())</f>
        <v/>
      </c>
      <c r="B268" s="234" t="str">
        <f ca="1">IF(Table1[[#This Row],[Column3]]="","",B$1+COUNT(INDIRECT("B$2:B"&amp;ROW()-1)))</f>
        <v/>
      </c>
      <c r="C268" s="235" t="str">
        <f>IF(Table1[[#This Row],[Column2]]="","",Table1[[#This Row],[Column2]]+C$1-1)</f>
        <v/>
      </c>
      <c r="E268" s="236"/>
      <c r="F268" s="234"/>
      <c r="G268" s="234" t="str">
        <f ca="1">IF(Table1[[#This Row],[h_No. Invoice :]]="","",CONCATENATE("AM"," ",Table1[[#This Row],[h_No. Invoice :]]))</f>
        <v/>
      </c>
      <c r="H268" s="234" t="str">
        <f>IF(Table1[[#This Row],[Column5]]="","",INDEX(Table2[Column1],MATCH(Table1[[#This Row],[Column5]],Table2[a],0)))</f>
        <v/>
      </c>
      <c r="I268" s="234" t="str">
        <f>IF(Table1[[#This Row],[Column3]]=0,"",CONCATENATE(UPPER(Table1[[#This Row],[Column3]])," ",Table1[[#This Row],[Column4]]))</f>
        <v xml:space="preserve"> </v>
      </c>
      <c r="J268" s="234" t="str">
        <f>IF(Table1[[#This Row],[Column5]]="","",INDEX(Table2[e],IF(Table1[[#This Row],[Column5]]="","",MATCH(Table1[[#This Row],[Column5]],Table2[a],0)),))</f>
        <v/>
      </c>
      <c r="K268" s="234"/>
      <c r="L268" s="234"/>
      <c r="O268" s="234" t="str">
        <f>IF(Table1[[#This Row],[h_Item Description]]="","",INDEX([1]!db[NB PAJAK],MATCH(Table1[[#This Row],[h_Item Description]],[1]!db[kode],0)))</f>
        <v/>
      </c>
      <c r="Q268" s="237"/>
      <c r="R268" s="238"/>
      <c r="S268" s="238"/>
      <c r="T268" s="237" t="str">
        <f>Table1[[#This Row],[h_hargasetelahdiskon]]</f>
        <v/>
      </c>
      <c r="V268" s="234"/>
      <c r="W268" s="234" t="str">
        <f ca="1">IF(Table1[[#This Row],[Column12]]="","",IF(Table1[[#This Row],[//]]="",INDIRECT(ADDRESS(ROW()-1,COLUMN())),Table1[[#This Row],[//]]))</f>
        <v/>
      </c>
      <c r="X268" s="234" t="str">
        <f ca="1">IF(Table1[[#This Row],[h_id]]="","",COUNTIF(Table1[h_id],Table1[[#This Row],[h_id]]))</f>
        <v/>
      </c>
      <c r="Y268" s="237" t="str">
        <f>IF(Table1[[#This Row],[Column12]]="","",Table1[[#This Row],[Qty]]*Table1[[#This Row],[Column13]])</f>
        <v/>
      </c>
      <c r="Z268" s="237" t="str">
        <f>IF(Table1[[#This Row],[h_hargasebelumdiskon]]="","",IF(Table1[[#This Row],[Column14]]="",0,Table1[[#This Row],[h_hargasebelumdiskon]]*Table1[[#This Row],[Column14]]))</f>
        <v/>
      </c>
      <c r="AA268" s="237" t="str">
        <f>IF(Table1[[#This Row],[h_hargasebelumdiskon]]="","",IF(Table1[[#This Row],[Column15]]="",0,(Table1[[#This Row],[h_hargasebelumdiskon]]-Table1[[#This Row],[h_disc 1]])*Table1[[#This Row],[Column15]]))</f>
        <v/>
      </c>
      <c r="AB268" s="237" t="str">
        <f>IF(Table1[[#This Row],[Column12]]="","",Table1[[#This Row],[h_disc 1]]+Table1[[#This Row],[h_disc 2]])</f>
        <v/>
      </c>
      <c r="AC268" s="237" t="str">
        <f>IF(Table1[[#This Row],[Column12]]="","",Table1[[#This Row],[h_hargasebelumdiskon]]-Table1[[#This Row],[h_diskon]])</f>
        <v/>
      </c>
      <c r="AD268" s="237" t="str">
        <f ca="1">IF(Table1[[#This Row],[//]]="","",SUMIF(Table1[h_id],Table1[[#This Row],[h_id]],Table1[h_hargasetelahdiskon]))</f>
        <v/>
      </c>
      <c r="AF268" s="237" t="str">
        <f>Table1[[#This Row],[Column12]]&amp;Table1[[#This Row],[Unit]]&amp;Table1[[#This Row],[Column13]]</f>
        <v/>
      </c>
      <c r="AG268"/>
      <c r="AH268"/>
      <c r="AI268"/>
    </row>
    <row r="269" spans="1:35">
      <c r="A269" s="234" t="str">
        <f ca="1">IF(Table1[[#This Row],[No. Invoice :]]="","",ROW())</f>
        <v/>
      </c>
      <c r="B269" s="234" t="str">
        <f ca="1">IF(Table1[[#This Row],[Column3]]="","",B$1+COUNT(INDIRECT("B$2:B"&amp;ROW()-1)))</f>
        <v/>
      </c>
      <c r="C269" s="235" t="str">
        <f>IF(Table1[[#This Row],[Column2]]="","",Table1[[#This Row],[Column2]]+C$1-1)</f>
        <v/>
      </c>
      <c r="E269" s="236"/>
      <c r="F269" s="234"/>
      <c r="G269" s="234" t="str">
        <f ca="1">IF(Table1[[#This Row],[h_No. Invoice :]]="","",CONCATENATE("AM"," ",Table1[[#This Row],[h_No. Invoice :]]))</f>
        <v/>
      </c>
      <c r="H269" s="234" t="str">
        <f>IF(Table1[[#This Row],[Column5]]="","",INDEX(Table2[Column1],MATCH(Table1[[#This Row],[Column5]],Table2[a],0)))</f>
        <v/>
      </c>
      <c r="I269" s="234" t="str">
        <f>IF(Table1[[#This Row],[Column3]]=0,"",CONCATENATE(UPPER(Table1[[#This Row],[Column3]])," ",Table1[[#This Row],[Column4]]))</f>
        <v xml:space="preserve"> </v>
      </c>
      <c r="J269" s="234" t="str">
        <f>IF(Table1[[#This Row],[Column5]]="","",INDEX(Table2[e],IF(Table1[[#This Row],[Column5]]="","",MATCH(Table1[[#This Row],[Column5]],Table2[a],0)),))</f>
        <v/>
      </c>
      <c r="K269" s="234"/>
      <c r="L269" s="234"/>
      <c r="O269" s="234" t="str">
        <f>IF(Table1[[#This Row],[h_Item Description]]="","",INDEX([1]!db[NB PAJAK],MATCH(Table1[[#This Row],[h_Item Description]],[1]!db[kode],0)))</f>
        <v/>
      </c>
      <c r="Q269" s="237"/>
      <c r="R269" s="238"/>
      <c r="S269" s="238"/>
      <c r="T269" s="237" t="str">
        <f>Table1[[#This Row],[h_hargasetelahdiskon]]</f>
        <v/>
      </c>
      <c r="V269" s="234"/>
      <c r="W269" s="234" t="str">
        <f ca="1">IF(Table1[[#This Row],[Column12]]="","",IF(Table1[[#This Row],[//]]="",INDIRECT(ADDRESS(ROW()-1,COLUMN())),Table1[[#This Row],[//]]))</f>
        <v/>
      </c>
      <c r="X269" s="234" t="str">
        <f ca="1">IF(Table1[[#This Row],[h_id]]="","",COUNTIF(Table1[h_id],Table1[[#This Row],[h_id]]))</f>
        <v/>
      </c>
      <c r="Y269" s="237" t="str">
        <f>IF(Table1[[#This Row],[Column12]]="","",Table1[[#This Row],[Qty]]*Table1[[#This Row],[Column13]])</f>
        <v/>
      </c>
      <c r="Z269" s="237" t="str">
        <f>IF(Table1[[#This Row],[h_hargasebelumdiskon]]="","",IF(Table1[[#This Row],[Column14]]="",0,Table1[[#This Row],[h_hargasebelumdiskon]]*Table1[[#This Row],[Column14]]))</f>
        <v/>
      </c>
      <c r="AA269" s="237" t="str">
        <f>IF(Table1[[#This Row],[h_hargasebelumdiskon]]="","",IF(Table1[[#This Row],[Column15]]="",0,(Table1[[#This Row],[h_hargasebelumdiskon]]-Table1[[#This Row],[h_disc 1]])*Table1[[#This Row],[Column15]]))</f>
        <v/>
      </c>
      <c r="AB269" s="237" t="str">
        <f>IF(Table1[[#This Row],[Column12]]="","",Table1[[#This Row],[h_disc 1]]+Table1[[#This Row],[h_disc 2]])</f>
        <v/>
      </c>
      <c r="AC269" s="237" t="str">
        <f>IF(Table1[[#This Row],[Column12]]="","",Table1[[#This Row],[h_hargasebelumdiskon]]-Table1[[#This Row],[h_diskon]])</f>
        <v/>
      </c>
      <c r="AD269" s="237" t="str">
        <f ca="1">IF(Table1[[#This Row],[//]]="","",SUMIF(Table1[h_id],Table1[[#This Row],[h_id]],Table1[h_hargasetelahdiskon]))</f>
        <v/>
      </c>
      <c r="AF269" s="237" t="str">
        <f>Table1[[#This Row],[Column12]]&amp;Table1[[#This Row],[Unit]]&amp;Table1[[#This Row],[Column13]]</f>
        <v/>
      </c>
      <c r="AG269"/>
      <c r="AH269"/>
      <c r="AI269"/>
    </row>
    <row r="270" spans="1:35">
      <c r="A270" s="234" t="str">
        <f ca="1">IF(Table1[[#This Row],[No. Invoice :]]="","",ROW())</f>
        <v/>
      </c>
      <c r="B270" s="420" t="str">
        <f ca="1">IF(Table1[[#This Row],[Column3]]="","",B$1+COUNT(INDIRECT("B$2:B"&amp;ROW()-1)))</f>
        <v/>
      </c>
      <c r="C270" s="235" t="str">
        <f>IF(Table1[[#This Row],[Column2]]="","",Table1[[#This Row],[Column2]]+C$1-1)</f>
        <v/>
      </c>
      <c r="D270" s="421"/>
      <c r="E270" s="422"/>
      <c r="F270" s="420"/>
      <c r="G270" s="234" t="str">
        <f ca="1">IF(Table1[[#This Row],[h_No. Invoice :]]="","",CONCATENATE("AM"," ",Table1[[#This Row],[h_No. Invoice :]]))</f>
        <v/>
      </c>
      <c r="H270" s="420" t="str">
        <f>IF(Table1[[#This Row],[Column5]]="","",INDEX(Table2[Column1],MATCH(Table1[[#This Row],[Column5]],Table2[a],0)))</f>
        <v/>
      </c>
      <c r="I270" s="234" t="str">
        <f>IF(Table1[[#This Row],[Column3]]=0,"",CONCATENATE(UPPER(Table1[[#This Row],[Column3]])," ",Table1[[#This Row],[Column4]]))</f>
        <v xml:space="preserve"> </v>
      </c>
      <c r="J270" s="234" t="str">
        <f>IF(Table1[[#This Row],[Column5]]="","",INDEX(Table2[e],IF(Table1[[#This Row],[Column5]]="","",MATCH(Table1[[#This Row],[Column5]],Table2[a],0)),))</f>
        <v/>
      </c>
      <c r="K270" s="234"/>
      <c r="L270" s="234"/>
      <c r="N270" s="420"/>
      <c r="O270" s="420" t="str">
        <f>IF(Table1[[#This Row],[h_Item Description]]="","",INDEX([1]!db[NB PAJAK],MATCH(Table1[[#This Row],[h_Item Description]],[1]!db[kode],0)))</f>
        <v/>
      </c>
      <c r="Q270" s="237"/>
      <c r="R270" s="238"/>
      <c r="S270" s="238"/>
      <c r="T270" s="423" t="str">
        <f>Table1[[#This Row],[h_hargasetelahdiskon]]</f>
        <v/>
      </c>
      <c r="V270" s="234"/>
      <c r="W270" s="234" t="str">
        <f ca="1">IF(Table1[[#This Row],[Column12]]="","",IF(Table1[[#This Row],[//]]="",INDIRECT(ADDRESS(ROW()-1,COLUMN())),Table1[[#This Row],[//]]))</f>
        <v/>
      </c>
      <c r="X270" s="234" t="str">
        <f ca="1">IF(Table1[[#This Row],[h_id]]="","",COUNTIF(Table1[h_id],Table1[[#This Row],[h_id]]))</f>
        <v/>
      </c>
      <c r="Y270" s="237" t="str">
        <f>IF(Table1[[#This Row],[Column12]]="","",Table1[[#This Row],[Qty]]*Table1[[#This Row],[Column13]])</f>
        <v/>
      </c>
      <c r="Z270" s="423" t="str">
        <f>IF(Table1[[#This Row],[h_hargasebelumdiskon]]="","",IF(Table1[[#This Row],[Column14]]="",0,Table1[[#This Row],[h_hargasebelumdiskon]]*Table1[[#This Row],[Column14]]))</f>
        <v/>
      </c>
      <c r="AA270" s="423" t="str">
        <f>IF(Table1[[#This Row],[h_hargasebelumdiskon]]="","",IF(Table1[[#This Row],[Column15]]="",0,(Table1[[#This Row],[h_hargasebelumdiskon]]-Table1[[#This Row],[h_disc 1]])*Table1[[#This Row],[Column15]]))</f>
        <v/>
      </c>
      <c r="AB270" s="237" t="str">
        <f>IF(Table1[[#This Row],[Column12]]="","",Table1[[#This Row],[h_disc 1]]+Table1[[#This Row],[h_disc 2]])</f>
        <v/>
      </c>
      <c r="AC270" s="237" t="str">
        <f>IF(Table1[[#This Row],[Column12]]="","",Table1[[#This Row],[h_hargasebelumdiskon]]-Table1[[#This Row],[h_diskon]])</f>
        <v/>
      </c>
      <c r="AD270" s="237" t="str">
        <f ca="1">IF(Table1[[#This Row],[//]]="","",SUMIF(Table1[h_id],Table1[[#This Row],[h_id]],Table1[h_hargasetelahdiskon]))</f>
        <v/>
      </c>
      <c r="AF270" s="237" t="str">
        <f>Table1[[#This Row],[Column12]]&amp;Table1[[#This Row],[Unit]]&amp;Table1[[#This Row],[Column13]]</f>
        <v/>
      </c>
      <c r="AG270"/>
      <c r="AH270"/>
      <c r="AI270"/>
    </row>
    <row r="271" spans="1:35">
      <c r="A271" s="234" t="str">
        <f ca="1">IF(Table1[[#This Row],[No. Invoice :]]="","",ROW())</f>
        <v/>
      </c>
      <c r="B271" s="234" t="str">
        <f ca="1">IF(Table1[[#This Row],[Column3]]="","",B$1+COUNT(INDIRECT("B$2:B"&amp;ROW()-1)))</f>
        <v/>
      </c>
      <c r="C271" s="235" t="str">
        <f>IF(Table1[[#This Row],[Column2]]="","",Table1[[#This Row],[Column2]]+C$1-1)</f>
        <v/>
      </c>
      <c r="E271" s="236"/>
      <c r="F271" s="234"/>
      <c r="G271" s="234" t="str">
        <f ca="1">IF(Table1[[#This Row],[h_No. Invoice :]]="","",CONCATENATE("AM"," ",Table1[[#This Row],[h_No. Invoice :]]))</f>
        <v/>
      </c>
      <c r="H271" s="234" t="str">
        <f>IF(Table1[[#This Row],[Column5]]="","",INDEX(Table2[Column1],MATCH(Table1[[#This Row],[Column5]],Table2[a],0)))</f>
        <v/>
      </c>
      <c r="I271" s="234" t="str">
        <f>IF(Table1[[#This Row],[Column3]]=0,"",CONCATENATE(UPPER(Table1[[#This Row],[Column3]])," ",Table1[[#This Row],[Column4]]))</f>
        <v xml:space="preserve"> </v>
      </c>
      <c r="J271" s="234" t="str">
        <f>IF(Table1[[#This Row],[Column5]]="","",INDEX(Table2[e],IF(Table1[[#This Row],[Column5]]="","",MATCH(Table1[[#This Row],[Column5]],Table2[a],0)),))</f>
        <v/>
      </c>
      <c r="K271" s="234"/>
      <c r="L271" s="234"/>
      <c r="O271" s="234" t="str">
        <f>IF(Table1[[#This Row],[h_Item Description]]="","",INDEX([1]!db[NB PAJAK],MATCH(Table1[[#This Row],[h_Item Description]],[1]!db[kode],0)))</f>
        <v/>
      </c>
      <c r="Q271" s="237"/>
      <c r="R271" s="238"/>
      <c r="S271" s="238"/>
      <c r="T271" s="237" t="str">
        <f>Table1[[#This Row],[h_hargasetelahdiskon]]</f>
        <v/>
      </c>
      <c r="V271" s="234"/>
      <c r="W271" s="234" t="str">
        <f ca="1">IF(Table1[[#This Row],[Column12]]="","",IF(Table1[[#This Row],[//]]="",INDIRECT(ADDRESS(ROW()-1,COLUMN())),Table1[[#This Row],[//]]))</f>
        <v/>
      </c>
      <c r="X271" s="234" t="str">
        <f ca="1">IF(Table1[[#This Row],[h_id]]="","",COUNTIF(Table1[h_id],Table1[[#This Row],[h_id]]))</f>
        <v/>
      </c>
      <c r="Y271" s="237" t="str">
        <f>IF(Table1[[#This Row],[Column12]]="","",Table1[[#This Row],[Qty]]*Table1[[#This Row],[Column13]])</f>
        <v/>
      </c>
      <c r="Z271" s="237" t="str">
        <f>IF(Table1[[#This Row],[h_hargasebelumdiskon]]="","",IF(Table1[[#This Row],[Column14]]="",0,Table1[[#This Row],[h_hargasebelumdiskon]]*Table1[[#This Row],[Column14]]))</f>
        <v/>
      </c>
      <c r="AA271" s="237" t="str">
        <f>IF(Table1[[#This Row],[h_hargasebelumdiskon]]="","",IF(Table1[[#This Row],[Column15]]="",0,(Table1[[#This Row],[h_hargasebelumdiskon]]-Table1[[#This Row],[h_disc 1]])*Table1[[#This Row],[Column15]]))</f>
        <v/>
      </c>
      <c r="AB271" s="237" t="str">
        <f>IF(Table1[[#This Row],[Column12]]="","",Table1[[#This Row],[h_disc 1]]+Table1[[#This Row],[h_disc 2]])</f>
        <v/>
      </c>
      <c r="AC271" s="237" t="str">
        <f>IF(Table1[[#This Row],[Column12]]="","",Table1[[#This Row],[h_hargasebelumdiskon]]-Table1[[#This Row],[h_diskon]])</f>
        <v/>
      </c>
      <c r="AD271" s="237" t="str">
        <f ca="1">IF(Table1[[#This Row],[//]]="","",SUMIF(Table1[h_id],Table1[[#This Row],[h_id]],Table1[h_hargasetelahdiskon]))</f>
        <v/>
      </c>
      <c r="AF271" s="237" t="str">
        <f>Table1[[#This Row],[Column12]]&amp;Table1[[#This Row],[Unit]]&amp;Table1[[#This Row],[Column13]]</f>
        <v/>
      </c>
      <c r="AG271"/>
      <c r="AH271"/>
      <c r="AI271"/>
    </row>
    <row r="272" spans="1:35">
      <c r="A272" s="234" t="str">
        <f ca="1">IF(Table1[[#This Row],[No. Invoice :]]="","",ROW())</f>
        <v/>
      </c>
      <c r="B272" s="234" t="str">
        <f ca="1">IF(Table1[[#This Row],[Column3]]="","",B$1+COUNT(INDIRECT("B$2:B"&amp;ROW()-1)))</f>
        <v/>
      </c>
      <c r="C272" s="235" t="str">
        <f>IF(Table1[[#This Row],[Column2]]="","",Table1[[#This Row],[Column2]]+C$1-1)</f>
        <v/>
      </c>
      <c r="E272" s="236"/>
      <c r="F272" s="234"/>
      <c r="G272" s="234" t="str">
        <f ca="1">IF(Table1[[#This Row],[h_No. Invoice :]]="","",CONCATENATE("AM"," ",Table1[[#This Row],[h_No. Invoice :]]))</f>
        <v/>
      </c>
      <c r="H272" s="234" t="str">
        <f>IF(Table1[[#This Row],[Column5]]="","",INDEX(Table2[Column1],MATCH(Table1[[#This Row],[Column5]],Table2[a],0)))</f>
        <v/>
      </c>
      <c r="I272" s="234" t="str">
        <f>IF(Table1[[#This Row],[Column3]]=0,"",CONCATENATE(UPPER(Table1[[#This Row],[Column3]])," ",Table1[[#This Row],[Column4]]))</f>
        <v xml:space="preserve"> </v>
      </c>
      <c r="J272" s="234" t="str">
        <f>IF(Table1[[#This Row],[Column5]]="","",INDEX(Table2[e],IF(Table1[[#This Row],[Column5]]="","",MATCH(Table1[[#This Row],[Column5]],Table2[a],0)),))</f>
        <v/>
      </c>
      <c r="K272" s="234"/>
      <c r="L272" s="234"/>
      <c r="O272" s="234" t="str">
        <f>IF(Table1[[#This Row],[h_Item Description]]="","",INDEX([1]!db[NB PAJAK],MATCH(Table1[[#This Row],[h_Item Description]],[1]!db[kode],0)))</f>
        <v/>
      </c>
      <c r="Q272" s="237"/>
      <c r="R272" s="238"/>
      <c r="S272" s="238"/>
      <c r="T272" s="237" t="str">
        <f>Table1[[#This Row],[h_hargasetelahdiskon]]</f>
        <v/>
      </c>
      <c r="V272" s="234"/>
      <c r="W272" s="234" t="str">
        <f ca="1">IF(Table1[[#This Row],[Column12]]="","",IF(Table1[[#This Row],[//]]="",INDIRECT(ADDRESS(ROW()-1,COLUMN())),Table1[[#This Row],[//]]))</f>
        <v/>
      </c>
      <c r="X272" s="234" t="str">
        <f ca="1">IF(Table1[[#This Row],[h_id]]="","",COUNTIF(Table1[h_id],Table1[[#This Row],[h_id]]))</f>
        <v/>
      </c>
      <c r="Y272" s="237" t="str">
        <f>IF(Table1[[#This Row],[Column12]]="","",Table1[[#This Row],[Qty]]*Table1[[#This Row],[Column13]])</f>
        <v/>
      </c>
      <c r="Z272" s="237" t="str">
        <f>IF(Table1[[#This Row],[h_hargasebelumdiskon]]="","",IF(Table1[[#This Row],[Column14]]="",0,Table1[[#This Row],[h_hargasebelumdiskon]]*Table1[[#This Row],[Column14]]))</f>
        <v/>
      </c>
      <c r="AA272" s="237" t="str">
        <f>IF(Table1[[#This Row],[h_hargasebelumdiskon]]="","",IF(Table1[[#This Row],[Column15]]="",0,(Table1[[#This Row],[h_hargasebelumdiskon]]-Table1[[#This Row],[h_disc 1]])*Table1[[#This Row],[Column15]]))</f>
        <v/>
      </c>
      <c r="AB272" s="237" t="str">
        <f>IF(Table1[[#This Row],[Column12]]="","",Table1[[#This Row],[h_disc 1]]+Table1[[#This Row],[h_disc 2]])</f>
        <v/>
      </c>
      <c r="AC272" s="237" t="str">
        <f>IF(Table1[[#This Row],[Column12]]="","",Table1[[#This Row],[h_hargasebelumdiskon]]-Table1[[#This Row],[h_diskon]])</f>
        <v/>
      </c>
      <c r="AD272" s="237" t="str">
        <f ca="1">IF(Table1[[#This Row],[//]]="","",SUMIF(Table1[h_id],Table1[[#This Row],[h_id]],Table1[h_hargasetelahdiskon]))</f>
        <v/>
      </c>
      <c r="AF272" s="237" t="str">
        <f>Table1[[#This Row],[Column12]]&amp;Table1[[#This Row],[Unit]]&amp;Table1[[#This Row],[Column13]]</f>
        <v/>
      </c>
      <c r="AG272"/>
      <c r="AH272"/>
      <c r="AI272"/>
    </row>
    <row r="273" spans="1:35">
      <c r="A273" s="234" t="str">
        <f ca="1">IF(Table1[[#This Row],[No. Invoice :]]="","",ROW())</f>
        <v/>
      </c>
      <c r="B273" s="234" t="str">
        <f ca="1">IF(Table1[[#This Row],[Column3]]="","",B$1+COUNT(INDIRECT("B$2:B"&amp;ROW()-1)))</f>
        <v/>
      </c>
      <c r="C273" s="235" t="str">
        <f>IF(Table1[[#This Row],[Column2]]="","",Table1[[#This Row],[Column2]]+C$1-1)</f>
        <v/>
      </c>
      <c r="E273" s="236"/>
      <c r="F273" s="234"/>
      <c r="G273" s="234" t="str">
        <f ca="1">IF(Table1[[#This Row],[h_No. Invoice :]]="","",CONCATENATE("AM"," ",Table1[[#This Row],[h_No. Invoice :]]))</f>
        <v/>
      </c>
      <c r="H273" s="234" t="str">
        <f>IF(Table1[[#This Row],[Column5]]="","",INDEX(Table2[Column1],MATCH(Table1[[#This Row],[Column5]],Table2[a],0)))</f>
        <v/>
      </c>
      <c r="I273" s="234" t="str">
        <f>IF(Table1[[#This Row],[Column3]]=0,"",CONCATENATE(UPPER(Table1[[#This Row],[Column3]])," ",Table1[[#This Row],[Column4]]))</f>
        <v xml:space="preserve"> </v>
      </c>
      <c r="J273" s="234" t="str">
        <f>IF(Table1[[#This Row],[Column5]]="","",INDEX(Table2[e],IF(Table1[[#This Row],[Column5]]="","",MATCH(Table1[[#This Row],[Column5]],Table2[a],0)),))</f>
        <v/>
      </c>
      <c r="K273" s="234"/>
      <c r="L273" s="234"/>
      <c r="O273" s="234" t="str">
        <f>IF(Table1[[#This Row],[h_Item Description]]="","",INDEX([1]!db[NB PAJAK],MATCH(Table1[[#This Row],[h_Item Description]],[1]!db[kode],0)))</f>
        <v/>
      </c>
      <c r="Q273" s="237"/>
      <c r="R273" s="238"/>
      <c r="S273" s="238"/>
      <c r="T273" s="237" t="str">
        <f>Table1[[#This Row],[h_hargasetelahdiskon]]</f>
        <v/>
      </c>
      <c r="V273" s="234"/>
      <c r="W273" s="234" t="str">
        <f ca="1">IF(Table1[[#This Row],[Column12]]="","",IF(Table1[[#This Row],[//]]="",INDIRECT(ADDRESS(ROW()-1,COLUMN())),Table1[[#This Row],[//]]))</f>
        <v/>
      </c>
      <c r="X273" s="234" t="str">
        <f ca="1">IF(Table1[[#This Row],[h_id]]="","",COUNTIF(Table1[h_id],Table1[[#This Row],[h_id]]))</f>
        <v/>
      </c>
      <c r="Y273" s="237" t="str">
        <f>IF(Table1[[#This Row],[Column12]]="","",Table1[[#This Row],[Qty]]*Table1[[#This Row],[Column13]])</f>
        <v/>
      </c>
      <c r="Z273" s="237" t="str">
        <f>IF(Table1[[#This Row],[h_hargasebelumdiskon]]="","",IF(Table1[[#This Row],[Column14]]="",0,Table1[[#This Row],[h_hargasebelumdiskon]]*Table1[[#This Row],[Column14]]))</f>
        <v/>
      </c>
      <c r="AA273" s="237" t="str">
        <f>IF(Table1[[#This Row],[h_hargasebelumdiskon]]="","",IF(Table1[[#This Row],[Column15]]="",0,(Table1[[#This Row],[h_hargasebelumdiskon]]-Table1[[#This Row],[h_disc 1]])*Table1[[#This Row],[Column15]]))</f>
        <v/>
      </c>
      <c r="AB273" s="237" t="str">
        <f>IF(Table1[[#This Row],[Column12]]="","",Table1[[#This Row],[h_disc 1]]+Table1[[#This Row],[h_disc 2]])</f>
        <v/>
      </c>
      <c r="AC273" s="237" t="str">
        <f>IF(Table1[[#This Row],[Column12]]="","",Table1[[#This Row],[h_hargasebelumdiskon]]-Table1[[#This Row],[h_diskon]])</f>
        <v/>
      </c>
      <c r="AD273" s="237" t="str">
        <f ca="1">IF(Table1[[#This Row],[//]]="","",SUMIF(Table1[h_id],Table1[[#This Row],[h_id]],Table1[h_hargasetelahdiskon]))</f>
        <v/>
      </c>
      <c r="AF273" s="237" t="str">
        <f>Table1[[#This Row],[Column12]]&amp;Table1[[#This Row],[Unit]]&amp;Table1[[#This Row],[Column13]]</f>
        <v/>
      </c>
      <c r="AG273"/>
      <c r="AH273"/>
      <c r="AI273"/>
    </row>
    <row r="274" spans="1:35">
      <c r="A274" s="234" t="str">
        <f ca="1">IF(Table1[[#This Row],[No. Invoice :]]="","",ROW())</f>
        <v/>
      </c>
      <c r="B274" s="234" t="str">
        <f ca="1">IF(Table1[[#This Row],[Column3]]="","",B$1+COUNT(INDIRECT("B$2:B"&amp;ROW()-1)))</f>
        <v/>
      </c>
      <c r="C274" s="235" t="str">
        <f>IF(Table1[[#This Row],[Column2]]="","",Table1[[#This Row],[Column2]]+C$1-1)</f>
        <v/>
      </c>
      <c r="E274" s="236"/>
      <c r="F274" s="234"/>
      <c r="G274" s="234" t="str">
        <f ca="1">IF(Table1[[#This Row],[h_No. Invoice :]]="","",CONCATENATE("AM"," ",Table1[[#This Row],[h_No. Invoice :]]))</f>
        <v/>
      </c>
      <c r="H274" s="234" t="str">
        <f>IF(Table1[[#This Row],[Column5]]="","",INDEX(Table2[Column1],MATCH(Table1[[#This Row],[Column5]],Table2[a],0)))</f>
        <v/>
      </c>
      <c r="I274" s="234" t="str">
        <f>IF(Table1[[#This Row],[Column3]]=0,"",CONCATENATE(UPPER(Table1[[#This Row],[Column3]])," ",Table1[[#This Row],[Column4]]))</f>
        <v xml:space="preserve"> </v>
      </c>
      <c r="J274" s="234" t="str">
        <f>IF(Table1[[#This Row],[Column5]]="","",INDEX(Table2[e],IF(Table1[[#This Row],[Column5]]="","",MATCH(Table1[[#This Row],[Column5]],Table2[a],0)),))</f>
        <v/>
      </c>
      <c r="K274" s="234"/>
      <c r="L274" s="234"/>
      <c r="O274" s="234" t="str">
        <f>IF(Table1[[#This Row],[h_Item Description]]="","",INDEX([1]!db[NB PAJAK],MATCH(Table1[[#This Row],[h_Item Description]],[1]!db[kode],0)))</f>
        <v/>
      </c>
      <c r="Q274" s="237"/>
      <c r="R274" s="238"/>
      <c r="S274" s="238"/>
      <c r="T274" s="237" t="str">
        <f>Table1[[#This Row],[h_hargasetelahdiskon]]</f>
        <v/>
      </c>
      <c r="V274" s="234"/>
      <c r="W274" s="234" t="str">
        <f ca="1">IF(Table1[[#This Row],[Column12]]="","",IF(Table1[[#This Row],[//]]="",INDIRECT(ADDRESS(ROW()-1,COLUMN())),Table1[[#This Row],[//]]))</f>
        <v/>
      </c>
      <c r="X274" s="234" t="str">
        <f ca="1">IF(Table1[[#This Row],[h_id]]="","",COUNTIF(Table1[h_id],Table1[[#This Row],[h_id]]))</f>
        <v/>
      </c>
      <c r="Y274" s="237" t="str">
        <f>IF(Table1[[#This Row],[Column12]]="","",Table1[[#This Row],[Qty]]*Table1[[#This Row],[Column13]])</f>
        <v/>
      </c>
      <c r="Z274" s="237" t="str">
        <f>IF(Table1[[#This Row],[h_hargasebelumdiskon]]="","",IF(Table1[[#This Row],[Column14]]="",0,Table1[[#This Row],[h_hargasebelumdiskon]]*Table1[[#This Row],[Column14]]))</f>
        <v/>
      </c>
      <c r="AA274" s="237" t="str">
        <f>IF(Table1[[#This Row],[h_hargasebelumdiskon]]="","",IF(Table1[[#This Row],[Column15]]="",0,(Table1[[#This Row],[h_hargasebelumdiskon]]-Table1[[#This Row],[h_disc 1]])*Table1[[#This Row],[Column15]]))</f>
        <v/>
      </c>
      <c r="AB274" s="237" t="str">
        <f>IF(Table1[[#This Row],[Column12]]="","",Table1[[#This Row],[h_disc 1]]+Table1[[#This Row],[h_disc 2]])</f>
        <v/>
      </c>
      <c r="AC274" s="237" t="str">
        <f>IF(Table1[[#This Row],[Column12]]="","",Table1[[#This Row],[h_hargasebelumdiskon]]-Table1[[#This Row],[h_diskon]])</f>
        <v/>
      </c>
      <c r="AD274" s="237" t="str">
        <f ca="1">IF(Table1[[#This Row],[//]]="","",SUMIF(Table1[h_id],Table1[[#This Row],[h_id]],Table1[h_hargasetelahdiskon]))</f>
        <v/>
      </c>
      <c r="AF274" s="237" t="str">
        <f>Table1[[#This Row],[Column12]]&amp;Table1[[#This Row],[Unit]]&amp;Table1[[#This Row],[Column13]]</f>
        <v/>
      </c>
      <c r="AG274"/>
      <c r="AH274"/>
      <c r="AI274"/>
    </row>
    <row r="275" spans="1:35">
      <c r="A275" s="234" t="str">
        <f ca="1">IF(Table1[[#This Row],[No. Invoice :]]="","",ROW())</f>
        <v/>
      </c>
      <c r="B275" s="234" t="str">
        <f ca="1">IF(Table1[[#This Row],[Column3]]="","",B$1+COUNT(INDIRECT("B$2:B"&amp;ROW()-1)))</f>
        <v/>
      </c>
      <c r="C275" s="235" t="str">
        <f>IF(Table1[[#This Row],[Column2]]="","",Table1[[#This Row],[Column2]]+C$1-1)</f>
        <v/>
      </c>
      <c r="E275" s="236"/>
      <c r="F275" s="234"/>
      <c r="G275" s="234" t="str">
        <f ca="1">IF(Table1[[#This Row],[h_No. Invoice :]]="","",CONCATENATE("AM"," ",Table1[[#This Row],[h_No. Invoice :]]))</f>
        <v/>
      </c>
      <c r="H275" s="234" t="str">
        <f>IF(Table1[[#This Row],[Column5]]="","",INDEX(Table2[Column1],MATCH(Table1[[#This Row],[Column5]],Table2[a],0)))</f>
        <v/>
      </c>
      <c r="I275" s="234" t="str">
        <f>IF(Table1[[#This Row],[Column3]]=0,"",CONCATENATE(UPPER(Table1[[#This Row],[Column3]])," ",Table1[[#This Row],[Column4]]))</f>
        <v xml:space="preserve"> </v>
      </c>
      <c r="J275" s="234" t="str">
        <f>IF(Table1[[#This Row],[Column5]]="","",INDEX(Table2[e],IF(Table1[[#This Row],[Column5]]="","",MATCH(Table1[[#This Row],[Column5]],Table2[a],0)),))</f>
        <v/>
      </c>
      <c r="K275" s="234"/>
      <c r="L275" s="234"/>
      <c r="O275" s="234" t="str">
        <f>IF(Table1[[#This Row],[h_Item Description]]="","",INDEX([1]!db[NB PAJAK],MATCH(Table1[[#This Row],[h_Item Description]],[1]!db[kode],0)))</f>
        <v/>
      </c>
      <c r="Q275" s="237"/>
      <c r="R275" s="238"/>
      <c r="S275" s="238"/>
      <c r="T275" s="237" t="str">
        <f>Table1[[#This Row],[h_hargasetelahdiskon]]</f>
        <v/>
      </c>
      <c r="V275" s="234"/>
      <c r="W275" s="234" t="str">
        <f ca="1">IF(Table1[[#This Row],[Column12]]="","",IF(Table1[[#This Row],[//]]="",INDIRECT(ADDRESS(ROW()-1,COLUMN())),Table1[[#This Row],[//]]))</f>
        <v/>
      </c>
      <c r="X275" s="234" t="str">
        <f ca="1">IF(Table1[[#This Row],[h_id]]="","",COUNTIF(Table1[h_id],Table1[[#This Row],[h_id]]))</f>
        <v/>
      </c>
      <c r="Y275" s="237" t="str">
        <f>IF(Table1[[#This Row],[Column12]]="","",Table1[[#This Row],[Qty]]*Table1[[#This Row],[Column13]])</f>
        <v/>
      </c>
      <c r="Z275" s="237" t="str">
        <f>IF(Table1[[#This Row],[h_hargasebelumdiskon]]="","",IF(Table1[[#This Row],[Column14]]="",0,Table1[[#This Row],[h_hargasebelumdiskon]]*Table1[[#This Row],[Column14]]))</f>
        <v/>
      </c>
      <c r="AA275" s="237" t="str">
        <f>IF(Table1[[#This Row],[h_hargasebelumdiskon]]="","",IF(Table1[[#This Row],[Column15]]="",0,(Table1[[#This Row],[h_hargasebelumdiskon]]-Table1[[#This Row],[h_disc 1]])*Table1[[#This Row],[Column15]]))</f>
        <v/>
      </c>
      <c r="AB275" s="237" t="str">
        <f>IF(Table1[[#This Row],[Column12]]="","",Table1[[#This Row],[h_disc 1]]+Table1[[#This Row],[h_disc 2]])</f>
        <v/>
      </c>
      <c r="AC275" s="237" t="str">
        <f>IF(Table1[[#This Row],[Column12]]="","",Table1[[#This Row],[h_hargasebelumdiskon]]-Table1[[#This Row],[h_diskon]])</f>
        <v/>
      </c>
      <c r="AD275" s="237" t="str">
        <f ca="1">IF(Table1[[#This Row],[//]]="","",SUMIF(Table1[h_id],Table1[[#This Row],[h_id]],Table1[h_hargasetelahdiskon]))</f>
        <v/>
      </c>
      <c r="AF275" s="237" t="str">
        <f>Table1[[#This Row],[Column12]]&amp;Table1[[#This Row],[Unit]]&amp;Table1[[#This Row],[Column13]]</f>
        <v/>
      </c>
      <c r="AG275"/>
      <c r="AH275"/>
      <c r="AI275"/>
    </row>
    <row r="276" spans="1:35">
      <c r="A276" s="234" t="str">
        <f ca="1">IF(Table1[[#This Row],[No. Invoice :]]="","",ROW())</f>
        <v/>
      </c>
      <c r="B276" s="234" t="str">
        <f ca="1">IF(Table1[[#This Row],[Column3]]="","",B$1+COUNT(INDIRECT("B$2:B"&amp;ROW()-1)))</f>
        <v/>
      </c>
      <c r="C276" s="235" t="str">
        <f>IF(Table1[[#This Row],[Column2]]="","",Table1[[#This Row],[Column2]]+C$1-1)</f>
        <v/>
      </c>
      <c r="E276" s="236"/>
      <c r="F276" s="234"/>
      <c r="G276" s="234" t="str">
        <f ca="1">IF(Table1[[#This Row],[h_No. Invoice :]]="","",CONCATENATE("AM"," ",Table1[[#This Row],[h_No. Invoice :]]))</f>
        <v/>
      </c>
      <c r="H276" s="234" t="str">
        <f>IF(Table1[[#This Row],[Column5]]="","",INDEX(Table2[Column1],MATCH(Table1[[#This Row],[Column5]],Table2[a],0)))</f>
        <v/>
      </c>
      <c r="I276" s="234" t="str">
        <f>IF(Table1[[#This Row],[Column3]]=0,"",CONCATENATE(UPPER(Table1[[#This Row],[Column3]])," ",Table1[[#This Row],[Column4]]))</f>
        <v xml:space="preserve"> </v>
      </c>
      <c r="J276" s="234" t="str">
        <f>IF(Table1[[#This Row],[Column5]]="","",INDEX(Table2[e],IF(Table1[[#This Row],[Column5]]="","",MATCH(Table1[[#This Row],[Column5]],Table2[a],0)),))</f>
        <v/>
      </c>
      <c r="K276" s="234"/>
      <c r="L276" s="234"/>
      <c r="O276" s="234" t="str">
        <f>IF(Table1[[#This Row],[h_Item Description]]="","",INDEX([1]!db[NB PAJAK],MATCH(Table1[[#This Row],[h_Item Description]],[1]!db[kode],0)))</f>
        <v/>
      </c>
      <c r="Q276" s="237"/>
      <c r="R276" s="238"/>
      <c r="S276" s="238"/>
      <c r="T276" s="237" t="str">
        <f>Table1[[#This Row],[h_hargasetelahdiskon]]</f>
        <v/>
      </c>
      <c r="V276" s="234"/>
      <c r="W276" s="234" t="str">
        <f ca="1">IF(Table1[[#This Row],[Column12]]="","",IF(Table1[[#This Row],[//]]="",INDIRECT(ADDRESS(ROW()-1,COLUMN())),Table1[[#This Row],[//]]))</f>
        <v/>
      </c>
      <c r="X276" s="234" t="str">
        <f ca="1">IF(Table1[[#This Row],[h_id]]="","",COUNTIF(Table1[h_id],Table1[[#This Row],[h_id]]))</f>
        <v/>
      </c>
      <c r="Y276" s="237" t="str">
        <f>IF(Table1[[#This Row],[Column12]]="","",Table1[[#This Row],[Qty]]*Table1[[#This Row],[Column13]])</f>
        <v/>
      </c>
      <c r="Z276" s="237" t="str">
        <f>IF(Table1[[#This Row],[h_hargasebelumdiskon]]="","",IF(Table1[[#This Row],[Column14]]="",0,Table1[[#This Row],[h_hargasebelumdiskon]]*Table1[[#This Row],[Column14]]))</f>
        <v/>
      </c>
      <c r="AA276" s="237" t="str">
        <f>IF(Table1[[#This Row],[h_hargasebelumdiskon]]="","",IF(Table1[[#This Row],[Column15]]="",0,(Table1[[#This Row],[h_hargasebelumdiskon]]-Table1[[#This Row],[h_disc 1]])*Table1[[#This Row],[Column15]]))</f>
        <v/>
      </c>
      <c r="AB276" s="237" t="str">
        <f>IF(Table1[[#This Row],[Column12]]="","",Table1[[#This Row],[h_disc 1]]+Table1[[#This Row],[h_disc 2]])</f>
        <v/>
      </c>
      <c r="AC276" s="237" t="str">
        <f>IF(Table1[[#This Row],[Column12]]="","",Table1[[#This Row],[h_hargasebelumdiskon]]-Table1[[#This Row],[h_diskon]])</f>
        <v/>
      </c>
      <c r="AD276" s="237" t="str">
        <f ca="1">IF(Table1[[#This Row],[//]]="","",SUMIF(Table1[h_id],Table1[[#This Row],[h_id]],Table1[h_hargasetelahdiskon]))</f>
        <v/>
      </c>
      <c r="AF276" s="237" t="str">
        <f>Table1[[#This Row],[Column12]]&amp;Table1[[#This Row],[Unit]]&amp;Table1[[#This Row],[Column13]]</f>
        <v/>
      </c>
      <c r="AG276"/>
      <c r="AH276"/>
      <c r="AI276"/>
    </row>
    <row r="277" spans="1:35">
      <c r="A277" s="234" t="str">
        <f ca="1">IF(Table1[[#This Row],[No. Invoice :]]="","",ROW())</f>
        <v/>
      </c>
      <c r="B277" s="234" t="str">
        <f ca="1">IF(Table1[[#This Row],[Column3]]="","",B$1+COUNT(INDIRECT("B$2:B"&amp;ROW()-1)))</f>
        <v/>
      </c>
      <c r="C277" s="235" t="str">
        <f>IF(Table1[[#This Row],[Column2]]="","",Table1[[#This Row],[Column2]]+C$1-1)</f>
        <v/>
      </c>
      <c r="E277" s="236"/>
      <c r="F277" s="234"/>
      <c r="G277" s="234" t="str">
        <f ca="1">IF(Table1[[#This Row],[h_No. Invoice :]]="","",CONCATENATE("AM"," ",Table1[[#This Row],[h_No. Invoice :]]))</f>
        <v/>
      </c>
      <c r="H277" s="234" t="str">
        <f>IF(Table1[[#This Row],[Column5]]="","",INDEX(Table2[Column1],MATCH(Table1[[#This Row],[Column5]],Table2[a],0)))</f>
        <v/>
      </c>
      <c r="I277" s="234" t="str">
        <f>IF(Table1[[#This Row],[Column3]]=0,"",CONCATENATE(UPPER(Table1[[#This Row],[Column3]])," ",Table1[[#This Row],[Column4]]))</f>
        <v xml:space="preserve"> </v>
      </c>
      <c r="J277" s="234" t="str">
        <f>IF(Table1[[#This Row],[Column5]]="","",INDEX(Table2[e],IF(Table1[[#This Row],[Column5]]="","",MATCH(Table1[[#This Row],[Column5]],Table2[a],0)),))</f>
        <v/>
      </c>
      <c r="K277" s="234"/>
      <c r="L277" s="234"/>
      <c r="O277" s="234" t="str">
        <f>IF(Table1[[#This Row],[h_Item Description]]="","",INDEX([1]!db[NB PAJAK],MATCH(Table1[[#This Row],[h_Item Description]],[1]!db[kode],0)))</f>
        <v/>
      </c>
      <c r="Q277" s="237"/>
      <c r="R277" s="238"/>
      <c r="S277" s="238"/>
      <c r="T277" s="237" t="str">
        <f>Table1[[#This Row],[h_hargasetelahdiskon]]</f>
        <v/>
      </c>
      <c r="V277" s="234"/>
      <c r="W277" s="234" t="str">
        <f ca="1">IF(Table1[[#This Row],[Column12]]="","",IF(Table1[[#This Row],[//]]="",INDIRECT(ADDRESS(ROW()-1,COLUMN())),Table1[[#This Row],[//]]))</f>
        <v/>
      </c>
      <c r="X277" s="234" t="str">
        <f ca="1">IF(Table1[[#This Row],[h_id]]="","",COUNTIF(Table1[h_id],Table1[[#This Row],[h_id]]))</f>
        <v/>
      </c>
      <c r="Y277" s="237" t="str">
        <f>IF(Table1[[#This Row],[Column12]]="","",Table1[[#This Row],[Qty]]*Table1[[#This Row],[Column13]])</f>
        <v/>
      </c>
      <c r="Z277" s="237" t="str">
        <f>IF(Table1[[#This Row],[h_hargasebelumdiskon]]="","",IF(Table1[[#This Row],[Column14]]="",0,Table1[[#This Row],[h_hargasebelumdiskon]]*Table1[[#This Row],[Column14]]))</f>
        <v/>
      </c>
      <c r="AA277" s="237" t="str">
        <f>IF(Table1[[#This Row],[h_hargasebelumdiskon]]="","",IF(Table1[[#This Row],[Column15]]="",0,(Table1[[#This Row],[h_hargasebelumdiskon]]-Table1[[#This Row],[h_disc 1]])*Table1[[#This Row],[Column15]]))</f>
        <v/>
      </c>
      <c r="AB277" s="237" t="str">
        <f>IF(Table1[[#This Row],[Column12]]="","",Table1[[#This Row],[h_disc 1]]+Table1[[#This Row],[h_disc 2]])</f>
        <v/>
      </c>
      <c r="AC277" s="237" t="str">
        <f>IF(Table1[[#This Row],[Column12]]="","",Table1[[#This Row],[h_hargasebelumdiskon]]-Table1[[#This Row],[h_diskon]])</f>
        <v/>
      </c>
      <c r="AD277" s="237" t="str">
        <f ca="1">IF(Table1[[#This Row],[//]]="","",SUMIF(Table1[h_id],Table1[[#This Row],[h_id]],Table1[h_hargasetelahdiskon]))</f>
        <v/>
      </c>
      <c r="AF277" s="237" t="str">
        <f>Table1[[#This Row],[Column12]]&amp;Table1[[#This Row],[Unit]]&amp;Table1[[#This Row],[Column13]]</f>
        <v/>
      </c>
      <c r="AG277"/>
      <c r="AH277"/>
      <c r="AI277"/>
    </row>
    <row r="278" spans="1:35">
      <c r="A278" s="234" t="str">
        <f ca="1">IF(Table1[[#This Row],[No. Invoice :]]="","",ROW())</f>
        <v/>
      </c>
      <c r="B278" s="234" t="str">
        <f ca="1">IF(Table1[[#This Row],[Column3]]="","",B$1+COUNT(INDIRECT("B$2:B"&amp;ROW()-1)))</f>
        <v/>
      </c>
      <c r="C278" s="235" t="str">
        <f>IF(Table1[[#This Row],[Column2]]="","",Table1[[#This Row],[Column2]]+C$1-1)</f>
        <v/>
      </c>
      <c r="E278" s="236"/>
      <c r="F278" s="234"/>
      <c r="G278" s="234" t="str">
        <f ca="1">IF(Table1[[#This Row],[h_No. Invoice :]]="","",CONCATENATE("AM"," ",Table1[[#This Row],[h_No. Invoice :]]))</f>
        <v/>
      </c>
      <c r="H278" s="234" t="str">
        <f>IF(Table1[[#This Row],[Column5]]="","",INDEX(Table2[Column1],MATCH(Table1[[#This Row],[Column5]],Table2[a],0)))</f>
        <v/>
      </c>
      <c r="I278" s="234" t="str">
        <f>IF(Table1[[#This Row],[Column3]]=0,"",CONCATENATE(UPPER(Table1[[#This Row],[Column3]])," ",Table1[[#This Row],[Column4]]))</f>
        <v xml:space="preserve"> </v>
      </c>
      <c r="J278" s="234" t="str">
        <f>IF(Table1[[#This Row],[Column5]]="","",INDEX(Table2[e],IF(Table1[[#This Row],[Column5]]="","",MATCH(Table1[[#This Row],[Column5]],Table2[a],0)),))</f>
        <v/>
      </c>
      <c r="K278" s="234"/>
      <c r="L278" s="234"/>
      <c r="O278" s="234" t="str">
        <f>IF(Table1[[#This Row],[h_Item Description]]="","",INDEX([1]!db[NB PAJAK],MATCH(Table1[[#This Row],[h_Item Description]],[1]!db[kode],0)))</f>
        <v/>
      </c>
      <c r="Q278" s="237"/>
      <c r="R278" s="238"/>
      <c r="S278" s="238"/>
      <c r="T278" s="237" t="str">
        <f>Table1[[#This Row],[h_hargasetelahdiskon]]</f>
        <v/>
      </c>
      <c r="V278" s="234"/>
      <c r="W278" s="234" t="str">
        <f ca="1">IF(Table1[[#This Row],[Column12]]="","",IF(Table1[[#This Row],[//]]="",INDIRECT(ADDRESS(ROW()-1,COLUMN())),Table1[[#This Row],[//]]))</f>
        <v/>
      </c>
      <c r="X278" s="234" t="str">
        <f ca="1">IF(Table1[[#This Row],[h_id]]="","",COUNTIF(Table1[h_id],Table1[[#This Row],[h_id]]))</f>
        <v/>
      </c>
      <c r="Y278" s="237" t="str">
        <f>IF(Table1[[#This Row],[Column12]]="","",Table1[[#This Row],[Qty]]*Table1[[#This Row],[Column13]])</f>
        <v/>
      </c>
      <c r="Z278" s="237" t="str">
        <f>IF(Table1[[#This Row],[h_hargasebelumdiskon]]="","",IF(Table1[[#This Row],[Column14]]="",0,Table1[[#This Row],[h_hargasebelumdiskon]]*Table1[[#This Row],[Column14]]))</f>
        <v/>
      </c>
      <c r="AA278" s="237" t="str">
        <f>IF(Table1[[#This Row],[h_hargasebelumdiskon]]="","",IF(Table1[[#This Row],[Column15]]="",0,(Table1[[#This Row],[h_hargasebelumdiskon]]-Table1[[#This Row],[h_disc 1]])*Table1[[#This Row],[Column15]]))</f>
        <v/>
      </c>
      <c r="AB278" s="237" t="str">
        <f>IF(Table1[[#This Row],[Column12]]="","",Table1[[#This Row],[h_disc 1]]+Table1[[#This Row],[h_disc 2]])</f>
        <v/>
      </c>
      <c r="AC278" s="237" t="str">
        <f>IF(Table1[[#This Row],[Column12]]="","",Table1[[#This Row],[h_hargasebelumdiskon]]-Table1[[#This Row],[h_diskon]])</f>
        <v/>
      </c>
      <c r="AD278" s="237" t="str">
        <f ca="1">IF(Table1[[#This Row],[//]]="","",SUMIF(Table1[h_id],Table1[[#This Row],[h_id]],Table1[h_hargasetelahdiskon]))</f>
        <v/>
      </c>
      <c r="AF278" s="237" t="str">
        <f>Table1[[#This Row],[Column12]]&amp;Table1[[#This Row],[Unit]]&amp;Table1[[#This Row],[Column13]]</f>
        <v/>
      </c>
      <c r="AG278"/>
      <c r="AH278"/>
      <c r="AI278"/>
    </row>
    <row r="279" spans="1:35">
      <c r="A279" s="234" t="str">
        <f ca="1">IF(Table1[[#This Row],[No. Invoice :]]="","",ROW())</f>
        <v/>
      </c>
      <c r="B279" s="234" t="str">
        <f ca="1">IF(Table1[[#This Row],[Column3]]="","",B$1+COUNT(INDIRECT("B$2:B"&amp;ROW()-1)))</f>
        <v/>
      </c>
      <c r="C279" s="235" t="str">
        <f>IF(Table1[[#This Row],[Column2]]="","",Table1[[#This Row],[Column2]]+C$1-1)</f>
        <v/>
      </c>
      <c r="E279" s="236"/>
      <c r="F279" s="234"/>
      <c r="G279" s="234" t="str">
        <f ca="1">IF(Table1[[#This Row],[h_No. Invoice :]]="","",CONCATENATE("AM"," ",Table1[[#This Row],[h_No. Invoice :]]))</f>
        <v/>
      </c>
      <c r="H279" s="234" t="str">
        <f>IF(Table1[[#This Row],[Column5]]="","",INDEX(Table2[Column1],MATCH(Table1[[#This Row],[Column5]],Table2[a],0)))</f>
        <v/>
      </c>
      <c r="I279" s="234" t="str">
        <f>IF(Table1[[#This Row],[Column3]]=0,"",CONCATENATE(UPPER(Table1[[#This Row],[Column3]])," ",Table1[[#This Row],[Column4]]))</f>
        <v xml:space="preserve"> </v>
      </c>
      <c r="J279" s="234" t="str">
        <f>IF(Table1[[#This Row],[Column5]]="","",INDEX(Table2[e],IF(Table1[[#This Row],[Column5]]="","",MATCH(Table1[[#This Row],[Column5]],Table2[a],0)),))</f>
        <v/>
      </c>
      <c r="K279" s="234"/>
      <c r="L279" s="234"/>
      <c r="O279" s="234" t="str">
        <f>IF(Table1[[#This Row],[h_Item Description]]="","",INDEX([1]!db[NB PAJAK],MATCH(Table1[[#This Row],[h_Item Description]],[1]!db[kode],0)))</f>
        <v/>
      </c>
      <c r="Q279" s="237"/>
      <c r="R279" s="238"/>
      <c r="S279" s="238"/>
      <c r="T279" s="237" t="str">
        <f>Table1[[#This Row],[h_hargasetelahdiskon]]</f>
        <v/>
      </c>
      <c r="V279" s="234"/>
      <c r="W279" s="234" t="str">
        <f ca="1">IF(Table1[[#This Row],[Column12]]="","",IF(Table1[[#This Row],[//]]="",INDIRECT(ADDRESS(ROW()-1,COLUMN())),Table1[[#This Row],[//]]))</f>
        <v/>
      </c>
      <c r="X279" s="234" t="str">
        <f ca="1">IF(Table1[[#This Row],[h_id]]="","",COUNTIF(Table1[h_id],Table1[[#This Row],[h_id]]))</f>
        <v/>
      </c>
      <c r="Y279" s="237" t="str">
        <f>IF(Table1[[#This Row],[Column12]]="","",Table1[[#This Row],[Qty]]*Table1[[#This Row],[Column13]])</f>
        <v/>
      </c>
      <c r="Z279" s="237" t="str">
        <f>IF(Table1[[#This Row],[h_hargasebelumdiskon]]="","",IF(Table1[[#This Row],[Column14]]="",0,Table1[[#This Row],[h_hargasebelumdiskon]]*Table1[[#This Row],[Column14]]))</f>
        <v/>
      </c>
      <c r="AA279" s="237" t="str">
        <f>IF(Table1[[#This Row],[h_hargasebelumdiskon]]="","",IF(Table1[[#This Row],[Column15]]="",0,(Table1[[#This Row],[h_hargasebelumdiskon]]-Table1[[#This Row],[h_disc 1]])*Table1[[#This Row],[Column15]]))</f>
        <v/>
      </c>
      <c r="AB279" s="237" t="str">
        <f>IF(Table1[[#This Row],[Column12]]="","",Table1[[#This Row],[h_disc 1]]+Table1[[#This Row],[h_disc 2]])</f>
        <v/>
      </c>
      <c r="AC279" s="237" t="str">
        <f>IF(Table1[[#This Row],[Column12]]="","",Table1[[#This Row],[h_hargasebelumdiskon]]-Table1[[#This Row],[h_diskon]])</f>
        <v/>
      </c>
      <c r="AD279" s="237" t="str">
        <f ca="1">IF(Table1[[#This Row],[//]]="","",SUMIF(Table1[h_id],Table1[[#This Row],[h_id]],Table1[h_hargasetelahdiskon]))</f>
        <v/>
      </c>
      <c r="AF279" s="237" t="str">
        <f>Table1[[#This Row],[Column12]]&amp;Table1[[#This Row],[Unit]]&amp;Table1[[#This Row],[Column13]]</f>
        <v/>
      </c>
      <c r="AG279"/>
      <c r="AH279"/>
      <c r="AI279"/>
    </row>
    <row r="280" spans="1:35">
      <c r="A280" s="234" t="str">
        <f ca="1">IF(Table1[[#This Row],[No. Invoice :]]="","",ROW())</f>
        <v/>
      </c>
      <c r="B280" s="234" t="str">
        <f ca="1">IF(Table1[[#This Row],[Column3]]="","",B$1+COUNT(INDIRECT("B$2:B"&amp;ROW()-1)))</f>
        <v/>
      </c>
      <c r="C280" s="235" t="str">
        <f>IF(Table1[[#This Row],[Column2]]="","",Table1[[#This Row],[Column2]]+C$1-1)</f>
        <v/>
      </c>
      <c r="E280" s="236"/>
      <c r="F280" s="234"/>
      <c r="G280" s="234" t="str">
        <f ca="1">IF(Table1[[#This Row],[h_No. Invoice :]]="","",CONCATENATE("AM"," ",Table1[[#This Row],[h_No. Invoice :]]))</f>
        <v/>
      </c>
      <c r="H280" s="234" t="str">
        <f>IF(Table1[[#This Row],[Column5]]="","",INDEX(Table2[Column1],MATCH(Table1[[#This Row],[Column5]],Table2[a],0)))</f>
        <v/>
      </c>
      <c r="I280" s="234" t="str">
        <f>IF(Table1[[#This Row],[Column3]]=0,"",CONCATENATE(UPPER(Table1[[#This Row],[Column3]])," ",Table1[[#This Row],[Column4]]))</f>
        <v xml:space="preserve"> </v>
      </c>
      <c r="J280" s="234" t="str">
        <f>IF(Table1[[#This Row],[Column5]]="","",INDEX(Table2[e],IF(Table1[[#This Row],[Column5]]="","",MATCH(Table1[[#This Row],[Column5]],Table2[a],0)),))</f>
        <v/>
      </c>
      <c r="K280" s="234"/>
      <c r="L280" s="234"/>
      <c r="O280" s="234" t="str">
        <f>IF(Table1[[#This Row],[h_Item Description]]="","",INDEX([1]!db[NB PAJAK],MATCH(Table1[[#This Row],[h_Item Description]],[1]!db[kode],0)))</f>
        <v/>
      </c>
      <c r="Q280" s="237"/>
      <c r="R280" s="238"/>
      <c r="S280" s="238"/>
      <c r="T280" s="237" t="str">
        <f>Table1[[#This Row],[h_hargasetelahdiskon]]</f>
        <v/>
      </c>
      <c r="V280" s="234"/>
      <c r="W280" s="234" t="str">
        <f ca="1">IF(Table1[[#This Row],[Column12]]="","",IF(Table1[[#This Row],[//]]="",INDIRECT(ADDRESS(ROW()-1,COLUMN())),Table1[[#This Row],[//]]))</f>
        <v/>
      </c>
      <c r="X280" s="234" t="str">
        <f ca="1">IF(Table1[[#This Row],[h_id]]="","",COUNTIF(Table1[h_id],Table1[[#This Row],[h_id]]))</f>
        <v/>
      </c>
      <c r="Y280" s="237" t="str">
        <f>IF(Table1[[#This Row],[Column12]]="","",Table1[[#This Row],[Qty]]*Table1[[#This Row],[Column13]])</f>
        <v/>
      </c>
      <c r="Z280" s="237" t="str">
        <f>IF(Table1[[#This Row],[h_hargasebelumdiskon]]="","",IF(Table1[[#This Row],[Column14]]="",0,Table1[[#This Row],[h_hargasebelumdiskon]]*Table1[[#This Row],[Column14]]))</f>
        <v/>
      </c>
      <c r="AA280" s="237" t="str">
        <f>IF(Table1[[#This Row],[h_hargasebelumdiskon]]="","",IF(Table1[[#This Row],[Column15]]="",0,(Table1[[#This Row],[h_hargasebelumdiskon]]-Table1[[#This Row],[h_disc 1]])*Table1[[#This Row],[Column15]]))</f>
        <v/>
      </c>
      <c r="AB280" s="237" t="str">
        <f>IF(Table1[[#This Row],[Column12]]="","",Table1[[#This Row],[h_disc 1]]+Table1[[#This Row],[h_disc 2]])</f>
        <v/>
      </c>
      <c r="AC280" s="237" t="str">
        <f>IF(Table1[[#This Row],[Column12]]="","",Table1[[#This Row],[h_hargasebelumdiskon]]-Table1[[#This Row],[h_diskon]])</f>
        <v/>
      </c>
      <c r="AD280" s="237" t="str">
        <f ca="1">IF(Table1[[#This Row],[//]]="","",SUMIF(Table1[h_id],Table1[[#This Row],[h_id]],Table1[h_hargasetelahdiskon]))</f>
        <v/>
      </c>
      <c r="AF280" s="237" t="str">
        <f>Table1[[#This Row],[Column12]]&amp;Table1[[#This Row],[Unit]]&amp;Table1[[#This Row],[Column13]]</f>
        <v/>
      </c>
      <c r="AG280"/>
      <c r="AH280"/>
      <c r="AI280"/>
    </row>
    <row r="281" spans="1:35">
      <c r="A281" s="234" t="str">
        <f ca="1">IF(Table1[[#This Row],[No. Invoice :]]="","",ROW())</f>
        <v/>
      </c>
      <c r="B281" s="234" t="str">
        <f ca="1">IF(Table1[[#This Row],[Column3]]="","",B$1+COUNT(INDIRECT("B$2:B"&amp;ROW()-1)))</f>
        <v/>
      </c>
      <c r="C281" s="235" t="str">
        <f>IF(Table1[[#This Row],[Column2]]="","",Table1[[#This Row],[Column2]]+C$1-1)</f>
        <v/>
      </c>
      <c r="E281" s="236"/>
      <c r="F281" s="234"/>
      <c r="G281" s="234" t="str">
        <f ca="1">IF(Table1[[#This Row],[h_No. Invoice :]]="","",CONCATENATE("AM"," ",Table1[[#This Row],[h_No. Invoice :]]))</f>
        <v/>
      </c>
      <c r="H281" s="234" t="str">
        <f>IF(Table1[[#This Row],[Column5]]="","",INDEX(Table2[Column1],MATCH(Table1[[#This Row],[Column5]],Table2[a],0)))</f>
        <v/>
      </c>
      <c r="I281" s="234" t="str">
        <f>IF(Table1[[#This Row],[Column3]]=0,"",CONCATENATE(UPPER(Table1[[#This Row],[Column3]])," ",Table1[[#This Row],[Column4]]))</f>
        <v xml:space="preserve"> </v>
      </c>
      <c r="J281" s="234" t="str">
        <f>IF(Table1[[#This Row],[Column5]]="","",INDEX(Table2[e],IF(Table1[[#This Row],[Column5]]="","",MATCH(Table1[[#This Row],[Column5]],Table2[a],0)),))</f>
        <v/>
      </c>
      <c r="K281" s="234"/>
      <c r="L281" s="234"/>
      <c r="O281" s="234" t="str">
        <f>IF(Table1[[#This Row],[h_Item Description]]="","",INDEX([1]!db[NB PAJAK],MATCH(Table1[[#This Row],[h_Item Description]],[1]!db[kode],0)))</f>
        <v/>
      </c>
      <c r="Q281" s="237"/>
      <c r="R281" s="238"/>
      <c r="S281" s="238"/>
      <c r="T281" s="237" t="str">
        <f>Table1[[#This Row],[h_hargasetelahdiskon]]</f>
        <v/>
      </c>
      <c r="V281" s="234"/>
      <c r="W281" s="234" t="str">
        <f ca="1">IF(Table1[[#This Row],[Column12]]="","",IF(Table1[[#This Row],[//]]="",INDIRECT(ADDRESS(ROW()-1,COLUMN())),Table1[[#This Row],[//]]))</f>
        <v/>
      </c>
      <c r="X281" s="234" t="str">
        <f ca="1">IF(Table1[[#This Row],[h_id]]="","",COUNTIF(Table1[h_id],Table1[[#This Row],[h_id]]))</f>
        <v/>
      </c>
      <c r="Y281" s="237" t="str">
        <f>IF(Table1[[#This Row],[Column12]]="","",Table1[[#This Row],[Qty]]*Table1[[#This Row],[Column13]])</f>
        <v/>
      </c>
      <c r="Z281" s="237" t="str">
        <f>IF(Table1[[#This Row],[h_hargasebelumdiskon]]="","",IF(Table1[[#This Row],[Column14]]="",0,Table1[[#This Row],[h_hargasebelumdiskon]]*Table1[[#This Row],[Column14]]))</f>
        <v/>
      </c>
      <c r="AA281" s="237" t="str">
        <f>IF(Table1[[#This Row],[h_hargasebelumdiskon]]="","",IF(Table1[[#This Row],[Column15]]="",0,(Table1[[#This Row],[h_hargasebelumdiskon]]-Table1[[#This Row],[h_disc 1]])*Table1[[#This Row],[Column15]]))</f>
        <v/>
      </c>
      <c r="AB281" s="237" t="str">
        <f>IF(Table1[[#This Row],[Column12]]="","",Table1[[#This Row],[h_disc 1]]+Table1[[#This Row],[h_disc 2]])</f>
        <v/>
      </c>
      <c r="AC281" s="237" t="str">
        <f>IF(Table1[[#This Row],[Column12]]="","",Table1[[#This Row],[h_hargasebelumdiskon]]-Table1[[#This Row],[h_diskon]])</f>
        <v/>
      </c>
      <c r="AD281" s="237" t="str">
        <f ca="1">IF(Table1[[#This Row],[//]]="","",SUMIF(Table1[h_id],Table1[[#This Row],[h_id]],Table1[h_hargasetelahdiskon]))</f>
        <v/>
      </c>
      <c r="AF281" s="237" t="str">
        <f>Table1[[#This Row],[Column12]]&amp;Table1[[#This Row],[Unit]]&amp;Table1[[#This Row],[Column13]]</f>
        <v/>
      </c>
      <c r="AG281"/>
      <c r="AH281"/>
      <c r="AI281"/>
    </row>
    <row r="282" spans="1:35">
      <c r="A282" s="234" t="str">
        <f ca="1">IF(Table1[[#This Row],[No. Invoice :]]="","",ROW())</f>
        <v/>
      </c>
      <c r="B282" s="234" t="str">
        <f ca="1">IF(Table1[[#This Row],[Column3]]="","",B$1+COUNT(INDIRECT("B$2:B"&amp;ROW()-1)))</f>
        <v/>
      </c>
      <c r="C282" s="235" t="str">
        <f>IF(Table1[[#This Row],[Column2]]="","",Table1[[#This Row],[Column2]]+C$1-1)</f>
        <v/>
      </c>
      <c r="E282" s="236"/>
      <c r="F282" s="234"/>
      <c r="G282" s="234" t="str">
        <f ca="1">IF(Table1[[#This Row],[h_No. Invoice :]]="","",CONCATENATE("AM"," ",Table1[[#This Row],[h_No. Invoice :]]))</f>
        <v/>
      </c>
      <c r="H282" s="234" t="str">
        <f>IF(Table1[[#This Row],[Column5]]="","",INDEX(Table2[Column1],MATCH(Table1[[#This Row],[Column5]],Table2[a],0)))</f>
        <v/>
      </c>
      <c r="I282" s="234" t="str">
        <f>IF(Table1[[#This Row],[Column3]]=0,"",CONCATENATE(UPPER(Table1[[#This Row],[Column3]])," ",Table1[[#This Row],[Column4]]))</f>
        <v xml:space="preserve"> </v>
      </c>
      <c r="J282" s="234" t="str">
        <f>IF(Table1[[#This Row],[Column5]]="","",INDEX(Table2[e],IF(Table1[[#This Row],[Column5]]="","",MATCH(Table1[[#This Row],[Column5]],Table2[a],0)),))</f>
        <v/>
      </c>
      <c r="K282" s="234"/>
      <c r="L282" s="234"/>
      <c r="O282" s="234" t="str">
        <f>IF(Table1[[#This Row],[h_Item Description]]="","",INDEX([1]!db[NB PAJAK],MATCH(Table1[[#This Row],[h_Item Description]],[1]!db[kode],0)))</f>
        <v/>
      </c>
      <c r="Q282" s="237"/>
      <c r="R282" s="238"/>
      <c r="S282" s="238"/>
      <c r="T282" s="237" t="str">
        <f>Table1[[#This Row],[h_hargasetelahdiskon]]</f>
        <v/>
      </c>
      <c r="V282" s="234"/>
      <c r="W282" s="234" t="str">
        <f ca="1">IF(Table1[[#This Row],[Column12]]="","",IF(Table1[[#This Row],[//]]="",INDIRECT(ADDRESS(ROW()-1,COLUMN())),Table1[[#This Row],[//]]))</f>
        <v/>
      </c>
      <c r="X282" s="234" t="str">
        <f ca="1">IF(Table1[[#This Row],[h_id]]="","",COUNTIF(Table1[h_id],Table1[[#This Row],[h_id]]))</f>
        <v/>
      </c>
      <c r="Y282" s="237" t="str">
        <f>IF(Table1[[#This Row],[Column12]]="","",Table1[[#This Row],[Qty]]*Table1[[#This Row],[Column13]])</f>
        <v/>
      </c>
      <c r="Z282" s="237" t="str">
        <f>IF(Table1[[#This Row],[h_hargasebelumdiskon]]="","",IF(Table1[[#This Row],[Column14]]="",0,Table1[[#This Row],[h_hargasebelumdiskon]]*Table1[[#This Row],[Column14]]))</f>
        <v/>
      </c>
      <c r="AA282" s="237" t="str">
        <f>IF(Table1[[#This Row],[h_hargasebelumdiskon]]="","",IF(Table1[[#This Row],[Column15]]="",0,(Table1[[#This Row],[h_hargasebelumdiskon]]-Table1[[#This Row],[h_disc 1]])*Table1[[#This Row],[Column15]]))</f>
        <v/>
      </c>
      <c r="AB282" s="237" t="str">
        <f>IF(Table1[[#This Row],[Column12]]="","",Table1[[#This Row],[h_disc 1]]+Table1[[#This Row],[h_disc 2]])</f>
        <v/>
      </c>
      <c r="AC282" s="237" t="str">
        <f>IF(Table1[[#This Row],[Column12]]="","",Table1[[#This Row],[h_hargasebelumdiskon]]-Table1[[#This Row],[h_diskon]])</f>
        <v/>
      </c>
      <c r="AD282" s="237" t="str">
        <f ca="1">IF(Table1[[#This Row],[//]]="","",SUMIF(Table1[h_id],Table1[[#This Row],[h_id]],Table1[h_hargasetelahdiskon]))</f>
        <v/>
      </c>
      <c r="AF282" s="237" t="str">
        <f>Table1[[#This Row],[Column12]]&amp;Table1[[#This Row],[Unit]]&amp;Table1[[#This Row],[Column13]]</f>
        <v/>
      </c>
      <c r="AG282"/>
      <c r="AH282"/>
      <c r="AI282"/>
    </row>
    <row r="283" spans="1:35">
      <c r="A283" s="234" t="str">
        <f ca="1">IF(Table1[[#This Row],[No. Invoice :]]="","",ROW())</f>
        <v/>
      </c>
      <c r="B283" s="234" t="str">
        <f ca="1">IF(Table1[[#This Row],[Column3]]="","",B$1+COUNT(INDIRECT("B$2:B"&amp;ROW()-1)))</f>
        <v/>
      </c>
      <c r="C283" s="235" t="str">
        <f>IF(Table1[[#This Row],[Column2]]="","",Table1[[#This Row],[Column2]]+C$1-1)</f>
        <v/>
      </c>
      <c r="E283" s="236"/>
      <c r="F283" s="234"/>
      <c r="G283" s="234" t="str">
        <f ca="1">IF(Table1[[#This Row],[h_No. Invoice :]]="","",CONCATENATE("AM"," ",Table1[[#This Row],[h_No. Invoice :]]))</f>
        <v/>
      </c>
      <c r="H283" s="234" t="str">
        <f>IF(Table1[[#This Row],[Column5]]="","",INDEX(Table2[Column1],MATCH(Table1[[#This Row],[Column5]],Table2[a],0)))</f>
        <v/>
      </c>
      <c r="I283" s="234" t="str">
        <f>IF(Table1[[#This Row],[Column3]]=0,"",CONCATENATE(UPPER(Table1[[#This Row],[Column3]])," ",Table1[[#This Row],[Column4]]))</f>
        <v xml:space="preserve"> </v>
      </c>
      <c r="J283" s="234" t="str">
        <f>IF(Table1[[#This Row],[Column5]]="","",INDEX(Table2[e],IF(Table1[[#This Row],[Column5]]="","",MATCH(Table1[[#This Row],[Column5]],Table2[a],0)),))</f>
        <v/>
      </c>
      <c r="K283" s="234"/>
      <c r="L283" s="234"/>
      <c r="N283" s="424"/>
      <c r="O283" s="234" t="str">
        <f>IF(Table1[[#This Row],[h_Item Description]]="","",INDEX([1]!db[NB PAJAK],MATCH(Table1[[#This Row],[h_Item Description]],[1]!db[kode],0)))</f>
        <v/>
      </c>
      <c r="Q283" s="237"/>
      <c r="R283" s="238"/>
      <c r="S283" s="238"/>
      <c r="T283" s="237" t="str">
        <f>Table1[[#This Row],[h_hargasetelahdiskon]]</f>
        <v/>
      </c>
      <c r="V283" s="234"/>
      <c r="W283" s="234" t="str">
        <f ca="1">IF(Table1[[#This Row],[Column12]]="","",IF(Table1[[#This Row],[//]]="",INDIRECT(ADDRESS(ROW()-1,COLUMN())),Table1[[#This Row],[//]]))</f>
        <v/>
      </c>
      <c r="X283" s="234" t="str">
        <f ca="1">IF(Table1[[#This Row],[h_id]]="","",COUNTIF(Table1[h_id],Table1[[#This Row],[h_id]]))</f>
        <v/>
      </c>
      <c r="Y283" s="237" t="str">
        <f>IF(Table1[[#This Row],[Column12]]="","",Table1[[#This Row],[Qty]]*Table1[[#This Row],[Column13]])</f>
        <v/>
      </c>
      <c r="Z283" s="237" t="str">
        <f>IF(Table1[[#This Row],[h_hargasebelumdiskon]]="","",IF(Table1[[#This Row],[Column14]]="",0,Table1[[#This Row],[h_hargasebelumdiskon]]*Table1[[#This Row],[Column14]]))</f>
        <v/>
      </c>
      <c r="AA283" s="237" t="str">
        <f>IF(Table1[[#This Row],[h_hargasebelumdiskon]]="","",IF(Table1[[#This Row],[Column15]]="",0,(Table1[[#This Row],[h_hargasebelumdiskon]]-Table1[[#This Row],[h_disc 1]])*Table1[[#This Row],[Column15]]))</f>
        <v/>
      </c>
      <c r="AB283" s="237" t="str">
        <f>IF(Table1[[#This Row],[Column12]]="","",Table1[[#This Row],[h_disc 1]]+Table1[[#This Row],[h_disc 2]])</f>
        <v/>
      </c>
      <c r="AC283" s="237" t="str">
        <f>IF(Table1[[#This Row],[Column12]]="","",Table1[[#This Row],[h_hargasebelumdiskon]]-Table1[[#This Row],[h_diskon]])</f>
        <v/>
      </c>
      <c r="AD283" s="237" t="str">
        <f ca="1">IF(Table1[[#This Row],[//]]="","",SUMIF(Table1[h_id],Table1[[#This Row],[h_id]],Table1[h_hargasetelahdiskon]))</f>
        <v/>
      </c>
      <c r="AF283" s="237" t="str">
        <f>Table1[[#This Row],[Column12]]&amp;Table1[[#This Row],[Unit]]&amp;Table1[[#This Row],[Column13]]</f>
        <v/>
      </c>
      <c r="AG283"/>
      <c r="AH283"/>
      <c r="AI283"/>
    </row>
    <row r="284" spans="1:35">
      <c r="A284" s="234" t="str">
        <f ca="1">IF(Table1[[#This Row],[No. Invoice :]]="","",ROW())</f>
        <v/>
      </c>
      <c r="B284" s="234" t="str">
        <f ca="1">IF(Table1[[#This Row],[Column3]]="","",B$1+COUNT(INDIRECT("B$2:B"&amp;ROW()-1)))</f>
        <v/>
      </c>
      <c r="C284" s="235" t="str">
        <f>IF(Table1[[#This Row],[Column2]]="","",Table1[[#This Row],[Column2]]+C$1-1)</f>
        <v/>
      </c>
      <c r="E284" s="236"/>
      <c r="F284" s="234"/>
      <c r="G284" s="234" t="str">
        <f ca="1">IF(Table1[[#This Row],[h_No. Invoice :]]="","",CONCATENATE("AM"," ",Table1[[#This Row],[h_No. Invoice :]]))</f>
        <v/>
      </c>
      <c r="H284" s="234" t="str">
        <f>IF(Table1[[#This Row],[Column5]]="","",INDEX(Table2[Column1],MATCH(Table1[[#This Row],[Column5]],Table2[a],0)))</f>
        <v/>
      </c>
      <c r="I284" s="234" t="str">
        <f>IF(Table1[[#This Row],[Column3]]=0,"",CONCATENATE(UPPER(Table1[[#This Row],[Column3]])," ",Table1[[#This Row],[Column4]]))</f>
        <v xml:space="preserve"> </v>
      </c>
      <c r="J284" s="234" t="str">
        <f>IF(Table1[[#This Row],[Column5]]="","",INDEX(Table2[e],IF(Table1[[#This Row],[Column5]]="","",MATCH(Table1[[#This Row],[Column5]],Table2[a],0)),))</f>
        <v/>
      </c>
      <c r="K284" s="234"/>
      <c r="L284" s="234"/>
      <c r="O284" s="234" t="str">
        <f>IF(Table1[[#This Row],[h_Item Description]]="","",INDEX([1]!db[NB PAJAK],MATCH(Table1[[#This Row],[h_Item Description]],[1]!db[kode],0)))</f>
        <v/>
      </c>
      <c r="Q284" s="237"/>
      <c r="R284" s="238"/>
      <c r="S284" s="238"/>
      <c r="T284" s="237" t="str">
        <f>Table1[[#This Row],[h_hargasetelahdiskon]]</f>
        <v/>
      </c>
      <c r="V284" s="234"/>
      <c r="W284" s="234" t="str">
        <f ca="1">IF(Table1[[#This Row],[Column12]]="","",IF(Table1[[#This Row],[//]]="",INDIRECT(ADDRESS(ROW()-1,COLUMN())),Table1[[#This Row],[//]]))</f>
        <v/>
      </c>
      <c r="X284" s="234" t="str">
        <f ca="1">IF(Table1[[#This Row],[h_id]]="","",COUNTIF(Table1[h_id],Table1[[#This Row],[h_id]]))</f>
        <v/>
      </c>
      <c r="Y284" s="237" t="str">
        <f>IF(Table1[[#This Row],[Column12]]="","",Table1[[#This Row],[Qty]]*Table1[[#This Row],[Column13]])</f>
        <v/>
      </c>
      <c r="Z284" s="237" t="str">
        <f>IF(Table1[[#This Row],[h_hargasebelumdiskon]]="","",IF(Table1[[#This Row],[Column14]]="",0,Table1[[#This Row],[h_hargasebelumdiskon]]*Table1[[#This Row],[Column14]]))</f>
        <v/>
      </c>
      <c r="AA284" s="237" t="str">
        <f>IF(Table1[[#This Row],[h_hargasebelumdiskon]]="","",IF(Table1[[#This Row],[Column15]]="",0,(Table1[[#This Row],[h_hargasebelumdiskon]]-Table1[[#This Row],[h_disc 1]])*Table1[[#This Row],[Column15]]))</f>
        <v/>
      </c>
      <c r="AB284" s="237" t="str">
        <f>IF(Table1[[#This Row],[Column12]]="","",Table1[[#This Row],[h_disc 1]]+Table1[[#This Row],[h_disc 2]])</f>
        <v/>
      </c>
      <c r="AC284" s="237" t="str">
        <f>IF(Table1[[#This Row],[Column12]]="","",Table1[[#This Row],[h_hargasebelumdiskon]]-Table1[[#This Row],[h_diskon]])</f>
        <v/>
      </c>
      <c r="AD284" s="237" t="str">
        <f ca="1">IF(Table1[[#This Row],[//]]="","",SUMIF(Table1[h_id],Table1[[#This Row],[h_id]],Table1[h_hargasetelahdiskon]))</f>
        <v/>
      </c>
      <c r="AF284" s="237" t="str">
        <f>Table1[[#This Row],[Column12]]&amp;Table1[[#This Row],[Unit]]&amp;Table1[[#This Row],[Column13]]</f>
        <v/>
      </c>
      <c r="AG284"/>
      <c r="AH284"/>
      <c r="AI284"/>
    </row>
    <row r="285" spans="1:35">
      <c r="A285" s="234" t="str">
        <f ca="1">IF(Table1[[#This Row],[No. Invoice :]]="","",ROW())</f>
        <v/>
      </c>
      <c r="B285" s="234" t="str">
        <f ca="1">IF(Table1[[#This Row],[Column3]]="","",B$1+COUNT(INDIRECT("B$2:B"&amp;ROW()-1)))</f>
        <v/>
      </c>
      <c r="C285" s="235" t="str">
        <f>IF(Table1[[#This Row],[Column2]]="","",Table1[[#This Row],[Column2]]+C$1-1)</f>
        <v/>
      </c>
      <c r="E285" s="236"/>
      <c r="F285" s="234"/>
      <c r="G285" s="234" t="str">
        <f ca="1">IF(Table1[[#This Row],[h_No. Invoice :]]="","",CONCATENATE("AM"," ",Table1[[#This Row],[h_No. Invoice :]]))</f>
        <v/>
      </c>
      <c r="H285" s="234" t="str">
        <f>IF(Table1[[#This Row],[Column5]]="","",INDEX(Table2[Column1],MATCH(Table1[[#This Row],[Column5]],Table2[a],0)))</f>
        <v/>
      </c>
      <c r="I285" s="234" t="str">
        <f>IF(Table1[[#This Row],[Column3]]=0,"",CONCATENATE(UPPER(Table1[[#This Row],[Column3]])," ",Table1[[#This Row],[Column4]]))</f>
        <v xml:space="preserve"> </v>
      </c>
      <c r="J285" s="234" t="str">
        <f>IF(Table1[[#This Row],[Column5]]="","",INDEX(Table2[e],IF(Table1[[#This Row],[Column5]]="","",MATCH(Table1[[#This Row],[Column5]],Table2[a],0)),))</f>
        <v/>
      </c>
      <c r="K285" s="234"/>
      <c r="L285" s="234"/>
      <c r="O285" s="234" t="str">
        <f>IF(Table1[[#This Row],[h_Item Description]]="","",INDEX([1]!db[NB PAJAK],MATCH(Table1[[#This Row],[h_Item Description]],[1]!db[kode],0)))</f>
        <v/>
      </c>
      <c r="Q285" s="237"/>
      <c r="R285" s="238"/>
      <c r="S285" s="238"/>
      <c r="T285" s="237" t="str">
        <f>Table1[[#This Row],[h_hargasetelahdiskon]]</f>
        <v/>
      </c>
      <c r="V285" s="234"/>
      <c r="W285" s="234" t="str">
        <f ca="1">IF(Table1[[#This Row],[Column12]]="","",IF(Table1[[#This Row],[//]]="",INDIRECT(ADDRESS(ROW()-1,COLUMN())),Table1[[#This Row],[//]]))</f>
        <v/>
      </c>
      <c r="X285" s="234" t="str">
        <f ca="1">IF(Table1[[#This Row],[h_id]]="","",COUNTIF(Table1[h_id],Table1[[#This Row],[h_id]]))</f>
        <v/>
      </c>
      <c r="Y285" s="237" t="str">
        <f>IF(Table1[[#This Row],[Column12]]="","",Table1[[#This Row],[Qty]]*Table1[[#This Row],[Column13]])</f>
        <v/>
      </c>
      <c r="Z285" s="237" t="str">
        <f>IF(Table1[[#This Row],[h_hargasebelumdiskon]]="","",IF(Table1[[#This Row],[Column14]]="",0,Table1[[#This Row],[h_hargasebelumdiskon]]*Table1[[#This Row],[Column14]]))</f>
        <v/>
      </c>
      <c r="AA285" s="237" t="str">
        <f>IF(Table1[[#This Row],[h_hargasebelumdiskon]]="","",IF(Table1[[#This Row],[Column15]]="",0,(Table1[[#This Row],[h_hargasebelumdiskon]]-Table1[[#This Row],[h_disc 1]])*Table1[[#This Row],[Column15]]))</f>
        <v/>
      </c>
      <c r="AB285" s="237" t="str">
        <f>IF(Table1[[#This Row],[Column12]]="","",Table1[[#This Row],[h_disc 1]]+Table1[[#This Row],[h_disc 2]])</f>
        <v/>
      </c>
      <c r="AC285" s="237" t="str">
        <f>IF(Table1[[#This Row],[Column12]]="","",Table1[[#This Row],[h_hargasebelumdiskon]]-Table1[[#This Row],[h_diskon]])</f>
        <v/>
      </c>
      <c r="AD285" s="237" t="str">
        <f ca="1">IF(Table1[[#This Row],[//]]="","",SUMIF(Table1[h_id],Table1[[#This Row],[h_id]],Table1[h_hargasetelahdiskon]))</f>
        <v/>
      </c>
      <c r="AF285" s="237" t="str">
        <f>Table1[[#This Row],[Column12]]&amp;Table1[[#This Row],[Unit]]&amp;Table1[[#This Row],[Column13]]</f>
        <v/>
      </c>
      <c r="AG285"/>
      <c r="AH285"/>
      <c r="AI285"/>
    </row>
    <row r="286" spans="1:35">
      <c r="A286" s="234" t="str">
        <f ca="1">IF(Table1[[#This Row],[No. Invoice :]]="","",ROW())</f>
        <v/>
      </c>
      <c r="B286" s="234" t="str">
        <f ca="1">IF(Table1[[#This Row],[Column3]]="","",B$1+COUNT(INDIRECT("B$2:B"&amp;ROW()-1)))</f>
        <v/>
      </c>
      <c r="C286" s="235" t="str">
        <f>IF(Table1[[#This Row],[Column2]]="","",Table1[[#This Row],[Column2]]+C$1-1)</f>
        <v/>
      </c>
      <c r="E286" s="236"/>
      <c r="F286" s="234"/>
      <c r="G286" s="234" t="str">
        <f ca="1">IF(Table1[[#This Row],[h_No. Invoice :]]="","",CONCATENATE("AM"," ",Table1[[#This Row],[h_No. Invoice :]]))</f>
        <v/>
      </c>
      <c r="H286" s="234" t="str">
        <f>IF(Table1[[#This Row],[Column5]]="","",INDEX(Table2[Column1],MATCH(Table1[[#This Row],[Column5]],Table2[a],0)))</f>
        <v/>
      </c>
      <c r="I286" s="234" t="str">
        <f>IF(Table1[[#This Row],[Column3]]=0,"",CONCATENATE(UPPER(Table1[[#This Row],[Column3]])," ",Table1[[#This Row],[Column4]]))</f>
        <v xml:space="preserve"> </v>
      </c>
      <c r="J286" s="234" t="str">
        <f>IF(Table1[[#This Row],[Column5]]="","",INDEX(Table2[e],IF(Table1[[#This Row],[Column5]]="","",MATCH(Table1[[#This Row],[Column5]],Table2[a],0)),))</f>
        <v/>
      </c>
      <c r="K286" s="234"/>
      <c r="L286" s="234"/>
      <c r="O286" s="234" t="str">
        <f>IF(Table1[[#This Row],[h_Item Description]]="","",INDEX([1]!db[NB PAJAK],MATCH(Table1[[#This Row],[h_Item Description]],[1]!db[kode],0)))</f>
        <v/>
      </c>
      <c r="Q286" s="237"/>
      <c r="R286" s="238"/>
      <c r="S286" s="238"/>
      <c r="T286" s="237" t="str">
        <f>Table1[[#This Row],[h_hargasetelahdiskon]]</f>
        <v/>
      </c>
      <c r="V286" s="234"/>
      <c r="W286" s="234" t="str">
        <f ca="1">IF(Table1[[#This Row],[Column12]]="","",IF(Table1[[#This Row],[//]]="",INDIRECT(ADDRESS(ROW()-1,COLUMN())),Table1[[#This Row],[//]]))</f>
        <v/>
      </c>
      <c r="X286" s="234" t="str">
        <f ca="1">IF(Table1[[#This Row],[h_id]]="","",COUNTIF(Table1[h_id],Table1[[#This Row],[h_id]]))</f>
        <v/>
      </c>
      <c r="Y286" s="237" t="str">
        <f>IF(Table1[[#This Row],[Column12]]="","",Table1[[#This Row],[Qty]]*Table1[[#This Row],[Column13]])</f>
        <v/>
      </c>
      <c r="Z286" s="237" t="str">
        <f>IF(Table1[[#This Row],[h_hargasebelumdiskon]]="","",IF(Table1[[#This Row],[Column14]]="",0,Table1[[#This Row],[h_hargasebelumdiskon]]*Table1[[#This Row],[Column14]]))</f>
        <v/>
      </c>
      <c r="AA286" s="237" t="str">
        <f>IF(Table1[[#This Row],[h_hargasebelumdiskon]]="","",IF(Table1[[#This Row],[Column15]]="",0,(Table1[[#This Row],[h_hargasebelumdiskon]]-Table1[[#This Row],[h_disc 1]])*Table1[[#This Row],[Column15]]))</f>
        <v/>
      </c>
      <c r="AB286" s="237" t="str">
        <f>IF(Table1[[#This Row],[Column12]]="","",Table1[[#This Row],[h_disc 1]]+Table1[[#This Row],[h_disc 2]])</f>
        <v/>
      </c>
      <c r="AC286" s="237" t="str">
        <f>IF(Table1[[#This Row],[Column12]]="","",Table1[[#This Row],[h_hargasebelumdiskon]]-Table1[[#This Row],[h_diskon]])</f>
        <v/>
      </c>
      <c r="AD286" s="237" t="str">
        <f ca="1">IF(Table1[[#This Row],[//]]="","",SUMIF(Table1[h_id],Table1[[#This Row],[h_id]],Table1[h_hargasetelahdiskon]))</f>
        <v/>
      </c>
      <c r="AF286" s="237" t="str">
        <f>Table1[[#This Row],[Column12]]&amp;Table1[[#This Row],[Unit]]&amp;Table1[[#This Row],[Column13]]</f>
        <v/>
      </c>
      <c r="AG286"/>
      <c r="AH286"/>
      <c r="AI286"/>
    </row>
    <row r="287" spans="1:35">
      <c r="A287" s="234" t="str">
        <f ca="1">IF(Table1[[#This Row],[No. Invoice :]]="","",ROW())</f>
        <v/>
      </c>
      <c r="B287" s="234" t="str">
        <f ca="1">IF(Table1[[#This Row],[Column3]]="","",B$1+COUNT(INDIRECT("B$2:B"&amp;ROW()-1)))</f>
        <v/>
      </c>
      <c r="C287" s="235" t="str">
        <f>IF(Table1[[#This Row],[Column2]]="","",Table1[[#This Row],[Column2]]+C$1-1)</f>
        <v/>
      </c>
      <c r="E287" s="236"/>
      <c r="F287" s="234"/>
      <c r="G287" s="234" t="str">
        <f ca="1">IF(Table1[[#This Row],[h_No. Invoice :]]="","",CONCATENATE("AM"," ",Table1[[#This Row],[h_No. Invoice :]]))</f>
        <v/>
      </c>
      <c r="H287" s="234" t="str">
        <f>IF(Table1[[#This Row],[Column5]]="","",INDEX(Table2[Column1],MATCH(Table1[[#This Row],[Column5]],Table2[a],0)))</f>
        <v/>
      </c>
      <c r="I287" s="234" t="str">
        <f>IF(Table1[[#This Row],[Column3]]=0,"",CONCATENATE(UPPER(Table1[[#This Row],[Column3]])," ",Table1[[#This Row],[Column4]]))</f>
        <v xml:space="preserve"> </v>
      </c>
      <c r="J287" s="234" t="str">
        <f>IF(Table1[[#This Row],[Column5]]="","",INDEX(Table2[e],IF(Table1[[#This Row],[Column5]]="","",MATCH(Table1[[#This Row],[Column5]],Table2[a],0)),))</f>
        <v/>
      </c>
      <c r="K287" s="234"/>
      <c r="L287" s="234"/>
      <c r="O287" s="234" t="str">
        <f>IF(Table1[[#This Row],[h_Item Description]]="","",INDEX([1]!db[NB PAJAK],MATCH(Table1[[#This Row],[h_Item Description]],[1]!db[kode],0)))</f>
        <v/>
      </c>
      <c r="Q287" s="237"/>
      <c r="R287" s="238"/>
      <c r="S287" s="238"/>
      <c r="T287" s="237" t="str">
        <f>Table1[[#This Row],[h_hargasetelahdiskon]]</f>
        <v/>
      </c>
      <c r="V287" s="234"/>
      <c r="W287" s="234" t="str">
        <f ca="1">IF(Table1[[#This Row],[Column12]]="","",IF(Table1[[#This Row],[//]]="",INDIRECT(ADDRESS(ROW()-1,COLUMN())),Table1[[#This Row],[//]]))</f>
        <v/>
      </c>
      <c r="X287" s="234" t="str">
        <f ca="1">IF(Table1[[#This Row],[h_id]]="","",COUNTIF(Table1[h_id],Table1[[#This Row],[h_id]]))</f>
        <v/>
      </c>
      <c r="Y287" s="237" t="str">
        <f>IF(Table1[[#This Row],[Column12]]="","",Table1[[#This Row],[Qty]]*Table1[[#This Row],[Column13]])</f>
        <v/>
      </c>
      <c r="Z287" s="237" t="str">
        <f>IF(Table1[[#This Row],[h_hargasebelumdiskon]]="","",IF(Table1[[#This Row],[Column14]]="",0,Table1[[#This Row],[h_hargasebelumdiskon]]*Table1[[#This Row],[Column14]]))</f>
        <v/>
      </c>
      <c r="AA287" s="237" t="str">
        <f>IF(Table1[[#This Row],[h_hargasebelumdiskon]]="","",IF(Table1[[#This Row],[Column15]]="",0,(Table1[[#This Row],[h_hargasebelumdiskon]]-Table1[[#This Row],[h_disc 1]])*Table1[[#This Row],[Column15]]))</f>
        <v/>
      </c>
      <c r="AB287" s="237" t="str">
        <f>IF(Table1[[#This Row],[Column12]]="","",Table1[[#This Row],[h_disc 1]]+Table1[[#This Row],[h_disc 2]])</f>
        <v/>
      </c>
      <c r="AC287" s="237" t="str">
        <f>IF(Table1[[#This Row],[Column12]]="","",Table1[[#This Row],[h_hargasebelumdiskon]]-Table1[[#This Row],[h_diskon]])</f>
        <v/>
      </c>
      <c r="AD287" s="237" t="str">
        <f ca="1">IF(Table1[[#This Row],[//]]="","",SUMIF(Table1[h_id],Table1[[#This Row],[h_id]],Table1[h_hargasetelahdiskon]))</f>
        <v/>
      </c>
      <c r="AF287" s="237" t="str">
        <f>Table1[[#This Row],[Column12]]&amp;Table1[[#This Row],[Unit]]&amp;Table1[[#This Row],[Column13]]</f>
        <v/>
      </c>
      <c r="AG287"/>
      <c r="AH287"/>
      <c r="AI287"/>
    </row>
    <row r="288" spans="1:35">
      <c r="A288" s="234" t="str">
        <f ca="1">IF(Table1[[#This Row],[No. Invoice :]]="","",ROW())</f>
        <v/>
      </c>
      <c r="B288" s="234" t="str">
        <f ca="1">IF(Table1[[#This Row],[Column3]]="","",B$1+COUNT(INDIRECT("B$2:B"&amp;ROW()-1)))</f>
        <v/>
      </c>
      <c r="C288" s="235" t="str">
        <f>IF(Table1[[#This Row],[Column2]]="","",Table1[[#This Row],[Column2]]+C$1-1)</f>
        <v/>
      </c>
      <c r="E288" s="236"/>
      <c r="F288" s="234"/>
      <c r="G288" s="234" t="str">
        <f ca="1">IF(Table1[[#This Row],[h_No. Invoice :]]="","",CONCATENATE("AM"," ",Table1[[#This Row],[h_No. Invoice :]]))</f>
        <v/>
      </c>
      <c r="H288" s="234" t="str">
        <f>IF(Table1[[#This Row],[Column5]]="","",INDEX(Table2[Column1],MATCH(Table1[[#This Row],[Column5]],Table2[a],0)))</f>
        <v/>
      </c>
      <c r="I288" s="234" t="str">
        <f>IF(Table1[[#This Row],[Column3]]=0,"",CONCATENATE(UPPER(Table1[[#This Row],[Column3]])," ",Table1[[#This Row],[Column4]]))</f>
        <v xml:space="preserve"> </v>
      </c>
      <c r="J288" s="234" t="str">
        <f>IF(Table1[[#This Row],[Column5]]="","",INDEX(Table2[e],IF(Table1[[#This Row],[Column5]]="","",MATCH(Table1[[#This Row],[Column5]],Table2[a],0)),))</f>
        <v/>
      </c>
      <c r="K288" s="234"/>
      <c r="L288" s="234"/>
      <c r="O288" s="234" t="str">
        <f>IF(Table1[[#This Row],[h_Item Description]]="","",INDEX([1]!db[NB PAJAK],MATCH(Table1[[#This Row],[h_Item Description]],[1]!db[kode],0)))</f>
        <v/>
      </c>
      <c r="Q288" s="237"/>
      <c r="R288" s="238"/>
      <c r="S288" s="238"/>
      <c r="T288" s="237" t="str">
        <f>Table1[[#This Row],[h_hargasetelahdiskon]]</f>
        <v/>
      </c>
      <c r="V288" s="234"/>
      <c r="W288" s="234" t="str">
        <f ca="1">IF(Table1[[#This Row],[Column12]]="","",IF(Table1[[#This Row],[//]]="",INDIRECT(ADDRESS(ROW()-1,COLUMN())),Table1[[#This Row],[//]]))</f>
        <v/>
      </c>
      <c r="X288" s="234" t="str">
        <f ca="1">IF(Table1[[#This Row],[h_id]]="","",COUNTIF(Table1[h_id],Table1[[#This Row],[h_id]]))</f>
        <v/>
      </c>
      <c r="Y288" s="237" t="str">
        <f>IF(Table1[[#This Row],[Column12]]="","",Table1[[#This Row],[Qty]]*Table1[[#This Row],[Column13]])</f>
        <v/>
      </c>
      <c r="Z288" s="237" t="str">
        <f>IF(Table1[[#This Row],[h_hargasebelumdiskon]]="","",IF(Table1[[#This Row],[Column14]]="",0,Table1[[#This Row],[h_hargasebelumdiskon]]*Table1[[#This Row],[Column14]]))</f>
        <v/>
      </c>
      <c r="AA288" s="237" t="str">
        <f>IF(Table1[[#This Row],[h_hargasebelumdiskon]]="","",IF(Table1[[#This Row],[Column15]]="",0,(Table1[[#This Row],[h_hargasebelumdiskon]]-Table1[[#This Row],[h_disc 1]])*Table1[[#This Row],[Column15]]))</f>
        <v/>
      </c>
      <c r="AB288" s="237" t="str">
        <f>IF(Table1[[#This Row],[Column12]]="","",Table1[[#This Row],[h_disc 1]]+Table1[[#This Row],[h_disc 2]])</f>
        <v/>
      </c>
      <c r="AC288" s="237" t="str">
        <f>IF(Table1[[#This Row],[Column12]]="","",Table1[[#This Row],[h_hargasebelumdiskon]]-Table1[[#This Row],[h_diskon]])</f>
        <v/>
      </c>
      <c r="AD288" s="237" t="str">
        <f ca="1">IF(Table1[[#This Row],[//]]="","",SUMIF(Table1[h_id],Table1[[#This Row],[h_id]],Table1[h_hargasetelahdiskon]))</f>
        <v/>
      </c>
      <c r="AF288" s="237" t="str">
        <f>Table1[[#This Row],[Column12]]&amp;Table1[[#This Row],[Unit]]&amp;Table1[[#This Row],[Column13]]</f>
        <v/>
      </c>
      <c r="AG288"/>
      <c r="AH288"/>
      <c r="AI288"/>
    </row>
    <row r="289" spans="1:35">
      <c r="A289" s="234" t="str">
        <f ca="1">IF(Table1[[#This Row],[No. Invoice :]]="","",ROW())</f>
        <v/>
      </c>
      <c r="B289" s="234" t="str">
        <f ca="1">IF(Table1[[#This Row],[Column3]]="","",B$1+COUNT(INDIRECT("B$2:B"&amp;ROW()-1)))</f>
        <v/>
      </c>
      <c r="C289" s="235" t="str">
        <f>IF(Table1[[#This Row],[Column2]]="","",Table1[[#This Row],[Column2]]+C$1-1)</f>
        <v/>
      </c>
      <c r="E289" s="236"/>
      <c r="F289" s="234"/>
      <c r="G289" s="234" t="str">
        <f ca="1">IF(Table1[[#This Row],[h_No. Invoice :]]="","",CONCATENATE("AM"," ",Table1[[#This Row],[h_No. Invoice :]]))</f>
        <v/>
      </c>
      <c r="H289" s="234" t="str">
        <f>IF(Table1[[#This Row],[Column5]]="","",INDEX(Table2[Column1],MATCH(Table1[[#This Row],[Column5]],Table2[a],0)))</f>
        <v/>
      </c>
      <c r="I289" s="234" t="str">
        <f>IF(Table1[[#This Row],[Column3]]=0,"",CONCATENATE(UPPER(Table1[[#This Row],[Column3]])," ",Table1[[#This Row],[Column4]]))</f>
        <v xml:space="preserve"> </v>
      </c>
      <c r="J289" s="234" t="str">
        <f>IF(Table1[[#This Row],[Column5]]="","",INDEX(Table2[e],IF(Table1[[#This Row],[Column5]]="","",MATCH(Table1[[#This Row],[Column5]],Table2[a],0)),))</f>
        <v/>
      </c>
      <c r="K289" s="234"/>
      <c r="L289" s="234"/>
      <c r="O289" s="234" t="str">
        <f>IF(Table1[[#This Row],[h_Item Description]]="","",INDEX([1]!db[NB PAJAK],MATCH(Table1[[#This Row],[h_Item Description]],[1]!db[kode],0)))</f>
        <v/>
      </c>
      <c r="Q289" s="237"/>
      <c r="R289" s="238"/>
      <c r="S289" s="238"/>
      <c r="T289" s="237" t="str">
        <f>Table1[[#This Row],[h_hargasetelahdiskon]]</f>
        <v/>
      </c>
      <c r="V289" s="234"/>
      <c r="W289" s="234" t="str">
        <f ca="1">IF(Table1[[#This Row],[Column12]]="","",IF(Table1[[#This Row],[//]]="",INDIRECT(ADDRESS(ROW()-1,COLUMN())),Table1[[#This Row],[//]]))</f>
        <v/>
      </c>
      <c r="X289" s="234" t="str">
        <f ca="1">IF(Table1[[#This Row],[h_id]]="","",COUNTIF(Table1[h_id],Table1[[#This Row],[h_id]]))</f>
        <v/>
      </c>
      <c r="Y289" s="237" t="str">
        <f>IF(Table1[[#This Row],[Column12]]="","",Table1[[#This Row],[Qty]]*Table1[[#This Row],[Column13]])</f>
        <v/>
      </c>
      <c r="Z289" s="237" t="str">
        <f>IF(Table1[[#This Row],[h_hargasebelumdiskon]]="","",IF(Table1[[#This Row],[Column14]]="",0,Table1[[#This Row],[h_hargasebelumdiskon]]*Table1[[#This Row],[Column14]]))</f>
        <v/>
      </c>
      <c r="AA289" s="237" t="str">
        <f>IF(Table1[[#This Row],[h_hargasebelumdiskon]]="","",IF(Table1[[#This Row],[Column15]]="",0,(Table1[[#This Row],[h_hargasebelumdiskon]]-Table1[[#This Row],[h_disc 1]])*Table1[[#This Row],[Column15]]))</f>
        <v/>
      </c>
      <c r="AB289" s="237" t="str">
        <f>IF(Table1[[#This Row],[Column12]]="","",Table1[[#This Row],[h_disc 1]]+Table1[[#This Row],[h_disc 2]])</f>
        <v/>
      </c>
      <c r="AC289" s="237" t="str">
        <f>IF(Table1[[#This Row],[Column12]]="","",Table1[[#This Row],[h_hargasebelumdiskon]]-Table1[[#This Row],[h_diskon]])</f>
        <v/>
      </c>
      <c r="AD289" s="237" t="str">
        <f ca="1">IF(Table1[[#This Row],[//]]="","",SUMIF(Table1[h_id],Table1[[#This Row],[h_id]],Table1[h_hargasetelahdiskon]))</f>
        <v/>
      </c>
      <c r="AF289" s="237" t="str">
        <f>Table1[[#This Row],[Column12]]&amp;Table1[[#This Row],[Unit]]&amp;Table1[[#This Row],[Column13]]</f>
        <v/>
      </c>
      <c r="AG289"/>
      <c r="AH289"/>
      <c r="AI289"/>
    </row>
    <row r="290" spans="1:35">
      <c r="A290" s="234" t="str">
        <f ca="1">IF(Table1[[#This Row],[No. Invoice :]]="","",ROW())</f>
        <v/>
      </c>
      <c r="B290" s="234" t="str">
        <f ca="1">IF(Table1[[#This Row],[Column3]]="","",B$1+COUNT(INDIRECT("B$2:B"&amp;ROW()-1)))</f>
        <v/>
      </c>
      <c r="C290" s="235" t="str">
        <f>IF(Table1[[#This Row],[Column2]]="","",Table1[[#This Row],[Column2]]+C$1-1)</f>
        <v/>
      </c>
      <c r="E290" s="236"/>
      <c r="F290" s="234"/>
      <c r="G290" s="234" t="str">
        <f ca="1">IF(Table1[[#This Row],[h_No. Invoice :]]="","",CONCATENATE("AM"," ",Table1[[#This Row],[h_No. Invoice :]]))</f>
        <v/>
      </c>
      <c r="H290" s="234" t="str">
        <f>IF(Table1[[#This Row],[Column5]]="","",INDEX(Table2[Column1],MATCH(Table1[[#This Row],[Column5]],Table2[a],0)))</f>
        <v/>
      </c>
      <c r="I290" s="234" t="str">
        <f>IF(Table1[[#This Row],[Column3]]=0,"",CONCATENATE(UPPER(Table1[[#This Row],[Column3]])," ",Table1[[#This Row],[Column4]]))</f>
        <v xml:space="preserve"> </v>
      </c>
      <c r="J290" s="234" t="str">
        <f>IF(Table1[[#This Row],[Column5]]="","",INDEX(Table2[e],IF(Table1[[#This Row],[Column5]]="","",MATCH(Table1[[#This Row],[Column5]],Table2[a],0)),))</f>
        <v/>
      </c>
      <c r="K290" s="234"/>
      <c r="L290" s="234"/>
      <c r="O290" s="234" t="str">
        <f>IF(Table1[[#This Row],[h_Item Description]]="","",INDEX([1]!db[NB PAJAK],MATCH(Table1[[#This Row],[h_Item Description]],[1]!db[kode],0)))</f>
        <v/>
      </c>
      <c r="Q290" s="237"/>
      <c r="R290" s="238"/>
      <c r="S290" s="238"/>
      <c r="T290" s="237" t="str">
        <f>Table1[[#This Row],[h_hargasetelahdiskon]]</f>
        <v/>
      </c>
      <c r="V290" s="234"/>
      <c r="W290" s="234" t="str">
        <f ca="1">IF(Table1[[#This Row],[Column12]]="","",IF(Table1[[#This Row],[//]]="",INDIRECT(ADDRESS(ROW()-1,COLUMN())),Table1[[#This Row],[//]]))</f>
        <v/>
      </c>
      <c r="X290" s="234" t="str">
        <f ca="1">IF(Table1[[#This Row],[h_id]]="","",COUNTIF(Table1[h_id],Table1[[#This Row],[h_id]]))</f>
        <v/>
      </c>
      <c r="Y290" s="237" t="str">
        <f>IF(Table1[[#This Row],[Column12]]="","",Table1[[#This Row],[Qty]]*Table1[[#This Row],[Column13]])</f>
        <v/>
      </c>
      <c r="Z290" s="237" t="str">
        <f>IF(Table1[[#This Row],[h_hargasebelumdiskon]]="","",IF(Table1[[#This Row],[Column14]]="",0,Table1[[#This Row],[h_hargasebelumdiskon]]*Table1[[#This Row],[Column14]]))</f>
        <v/>
      </c>
      <c r="AA290" s="237" t="str">
        <f>IF(Table1[[#This Row],[h_hargasebelumdiskon]]="","",IF(Table1[[#This Row],[Column15]]="",0,(Table1[[#This Row],[h_hargasebelumdiskon]]-Table1[[#This Row],[h_disc 1]])*Table1[[#This Row],[Column15]]))</f>
        <v/>
      </c>
      <c r="AB290" s="237" t="str">
        <f>IF(Table1[[#This Row],[Column12]]="","",Table1[[#This Row],[h_disc 1]]+Table1[[#This Row],[h_disc 2]])</f>
        <v/>
      </c>
      <c r="AC290" s="237" t="str">
        <f>IF(Table1[[#This Row],[Column12]]="","",Table1[[#This Row],[h_hargasebelumdiskon]]-Table1[[#This Row],[h_diskon]])</f>
        <v/>
      </c>
      <c r="AD290" s="237" t="str">
        <f ca="1">IF(Table1[[#This Row],[//]]="","",SUMIF(Table1[h_id],Table1[[#This Row],[h_id]],Table1[h_hargasetelahdiskon]))</f>
        <v/>
      </c>
      <c r="AF290" s="237" t="str">
        <f>Table1[[#This Row],[Column12]]&amp;Table1[[#This Row],[Unit]]&amp;Table1[[#This Row],[Column13]]</f>
        <v/>
      </c>
      <c r="AG290"/>
      <c r="AH290"/>
      <c r="AI290"/>
    </row>
    <row r="291" spans="1:35">
      <c r="A291" s="234" t="str">
        <f ca="1">IF(Table1[[#This Row],[No. Invoice :]]="","",ROW())</f>
        <v/>
      </c>
      <c r="B291" s="234" t="str">
        <f ca="1">IF(Table1[[#This Row],[Column3]]="","",B$1+COUNT(INDIRECT("B$2:B"&amp;ROW()-1)))</f>
        <v/>
      </c>
      <c r="C291" s="235" t="str">
        <f>IF(Table1[[#This Row],[Column2]]="","",Table1[[#This Row],[Column2]]+C$1-1)</f>
        <v/>
      </c>
      <c r="E291" s="236"/>
      <c r="F291" s="234"/>
      <c r="G291" s="234" t="str">
        <f ca="1">IF(Table1[[#This Row],[h_No. Invoice :]]="","",CONCATENATE("AM"," ",Table1[[#This Row],[h_No. Invoice :]]))</f>
        <v/>
      </c>
      <c r="H291" s="234" t="str">
        <f>IF(Table1[[#This Row],[Column5]]="","",INDEX(Table2[Column1],MATCH(Table1[[#This Row],[Column5]],Table2[a],0)))</f>
        <v/>
      </c>
      <c r="I291" s="234" t="str">
        <f>IF(Table1[[#This Row],[Column3]]=0,"",CONCATENATE(UPPER(Table1[[#This Row],[Column3]])," ",Table1[[#This Row],[Column4]]))</f>
        <v xml:space="preserve"> </v>
      </c>
      <c r="J291" s="234" t="str">
        <f>IF(Table1[[#This Row],[Column5]]="","",INDEX(Table2[e],IF(Table1[[#This Row],[Column5]]="","",MATCH(Table1[[#This Row],[Column5]],Table2[a],0)),))</f>
        <v/>
      </c>
      <c r="K291" s="234"/>
      <c r="L291" s="234"/>
      <c r="O291" s="234" t="str">
        <f>IF(Table1[[#This Row],[h_Item Description]]="","",INDEX([1]!db[NB PAJAK],MATCH(Table1[[#This Row],[h_Item Description]],[1]!db[kode],0)))</f>
        <v/>
      </c>
      <c r="Q291" s="237"/>
      <c r="R291" s="238"/>
      <c r="S291" s="238"/>
      <c r="T291" s="237" t="str">
        <f>Table1[[#This Row],[h_hargasetelahdiskon]]</f>
        <v/>
      </c>
      <c r="V291" s="234"/>
      <c r="W291" s="234" t="str">
        <f ca="1">IF(Table1[[#This Row],[Column12]]="","",IF(Table1[[#This Row],[//]]="",INDIRECT(ADDRESS(ROW()-1,COLUMN())),Table1[[#This Row],[//]]))</f>
        <v/>
      </c>
      <c r="X291" s="234" t="str">
        <f ca="1">IF(Table1[[#This Row],[h_id]]="","",COUNTIF(Table1[h_id],Table1[[#This Row],[h_id]]))</f>
        <v/>
      </c>
      <c r="Y291" s="237" t="str">
        <f>IF(Table1[[#This Row],[Column12]]="","",Table1[[#This Row],[Qty]]*Table1[[#This Row],[Column13]])</f>
        <v/>
      </c>
      <c r="Z291" s="237" t="str">
        <f>IF(Table1[[#This Row],[h_hargasebelumdiskon]]="","",IF(Table1[[#This Row],[Column14]]="",0,Table1[[#This Row],[h_hargasebelumdiskon]]*Table1[[#This Row],[Column14]]))</f>
        <v/>
      </c>
      <c r="AA291" s="237" t="str">
        <f>IF(Table1[[#This Row],[h_hargasebelumdiskon]]="","",IF(Table1[[#This Row],[Column15]]="",0,(Table1[[#This Row],[h_hargasebelumdiskon]]-Table1[[#This Row],[h_disc 1]])*Table1[[#This Row],[Column15]]))</f>
        <v/>
      </c>
      <c r="AB291" s="237" t="str">
        <f>IF(Table1[[#This Row],[Column12]]="","",Table1[[#This Row],[h_disc 1]]+Table1[[#This Row],[h_disc 2]])</f>
        <v/>
      </c>
      <c r="AC291" s="237" t="str">
        <f>IF(Table1[[#This Row],[Column12]]="","",Table1[[#This Row],[h_hargasebelumdiskon]]-Table1[[#This Row],[h_diskon]])</f>
        <v/>
      </c>
      <c r="AD291" s="237" t="str">
        <f ca="1">IF(Table1[[#This Row],[//]]="","",SUMIF(Table1[h_id],Table1[[#This Row],[h_id]],Table1[h_hargasetelahdiskon]))</f>
        <v/>
      </c>
      <c r="AF291" s="237" t="str">
        <f>Table1[[#This Row],[Column12]]&amp;Table1[[#This Row],[Unit]]&amp;Table1[[#This Row],[Column13]]</f>
        <v/>
      </c>
      <c r="AG291"/>
      <c r="AH291"/>
      <c r="AI291"/>
    </row>
    <row r="292" spans="1:35">
      <c r="A292" s="234" t="str">
        <f ca="1">IF(Table1[[#This Row],[No. Invoice :]]="","",ROW())</f>
        <v/>
      </c>
      <c r="B292" s="234" t="str">
        <f ca="1">IF(Table1[[#This Row],[Column3]]="","",B$1+COUNT(INDIRECT("B$2:B"&amp;ROW()-1)))</f>
        <v/>
      </c>
      <c r="C292" s="235" t="str">
        <f>IF(Table1[[#This Row],[Column2]]="","",Table1[[#This Row],[Column2]]+C$1-1)</f>
        <v/>
      </c>
      <c r="E292" s="236"/>
      <c r="F292" s="234"/>
      <c r="G292" s="234" t="str">
        <f ca="1">IF(Table1[[#This Row],[h_No. Invoice :]]="","",CONCATENATE("AM"," ",Table1[[#This Row],[h_No. Invoice :]]))</f>
        <v/>
      </c>
      <c r="H292" s="234" t="str">
        <f>IF(Table1[[#This Row],[Column5]]="","",INDEX(Table2[Column1],MATCH(Table1[[#This Row],[Column5]],Table2[a],0)))</f>
        <v/>
      </c>
      <c r="I292" s="234" t="str">
        <f>IF(Table1[[#This Row],[Column3]]=0,"",CONCATENATE(UPPER(Table1[[#This Row],[Column3]])," ",Table1[[#This Row],[Column4]]))</f>
        <v xml:space="preserve"> </v>
      </c>
      <c r="J292" s="234" t="str">
        <f>IF(Table1[[#This Row],[Column5]]="","",INDEX(Table2[e],IF(Table1[[#This Row],[Column5]]="","",MATCH(Table1[[#This Row],[Column5]],Table2[a],0)),))</f>
        <v/>
      </c>
      <c r="K292" s="234"/>
      <c r="L292" s="234"/>
      <c r="O292" s="234" t="str">
        <f>IF(Table1[[#This Row],[h_Item Description]]="","",INDEX([1]!db[NB PAJAK],MATCH(Table1[[#This Row],[h_Item Description]],[1]!db[kode],0)))</f>
        <v/>
      </c>
      <c r="Q292" s="237"/>
      <c r="R292" s="238"/>
      <c r="S292" s="238"/>
      <c r="T292" s="237" t="str">
        <f>Table1[[#This Row],[h_hargasetelahdiskon]]</f>
        <v/>
      </c>
      <c r="V292" s="234"/>
      <c r="W292" s="234" t="str">
        <f ca="1">IF(Table1[[#This Row],[Column12]]="","",IF(Table1[[#This Row],[//]]="",INDIRECT(ADDRESS(ROW()-1,COLUMN())),Table1[[#This Row],[//]]))</f>
        <v/>
      </c>
      <c r="X292" s="234" t="str">
        <f ca="1">IF(Table1[[#This Row],[h_id]]="","",COUNTIF(Table1[h_id],Table1[[#This Row],[h_id]]))</f>
        <v/>
      </c>
      <c r="Y292" s="237" t="str">
        <f>IF(Table1[[#This Row],[Column12]]="","",Table1[[#This Row],[Qty]]*Table1[[#This Row],[Column13]])</f>
        <v/>
      </c>
      <c r="Z292" s="237" t="str">
        <f>IF(Table1[[#This Row],[h_hargasebelumdiskon]]="","",IF(Table1[[#This Row],[Column14]]="",0,Table1[[#This Row],[h_hargasebelumdiskon]]*Table1[[#This Row],[Column14]]))</f>
        <v/>
      </c>
      <c r="AA292" s="237" t="str">
        <f>IF(Table1[[#This Row],[h_hargasebelumdiskon]]="","",IF(Table1[[#This Row],[Column15]]="",0,(Table1[[#This Row],[h_hargasebelumdiskon]]-Table1[[#This Row],[h_disc 1]])*Table1[[#This Row],[Column15]]))</f>
        <v/>
      </c>
      <c r="AB292" s="237" t="str">
        <f>IF(Table1[[#This Row],[Column12]]="","",Table1[[#This Row],[h_disc 1]]+Table1[[#This Row],[h_disc 2]])</f>
        <v/>
      </c>
      <c r="AC292" s="237" t="str">
        <f>IF(Table1[[#This Row],[Column12]]="","",Table1[[#This Row],[h_hargasebelumdiskon]]-Table1[[#This Row],[h_diskon]])</f>
        <v/>
      </c>
      <c r="AD292" s="237" t="str">
        <f ca="1">IF(Table1[[#This Row],[//]]="","",SUMIF(Table1[h_id],Table1[[#This Row],[h_id]],Table1[h_hargasetelahdiskon]))</f>
        <v/>
      </c>
      <c r="AF292" s="237" t="str">
        <f>Table1[[#This Row],[Column12]]&amp;Table1[[#This Row],[Unit]]&amp;Table1[[#This Row],[Column13]]</f>
        <v/>
      </c>
      <c r="AG292"/>
      <c r="AH292"/>
      <c r="AI292"/>
    </row>
    <row r="293" spans="1:35">
      <c r="A293" s="234" t="str">
        <f ca="1">IF(Table1[[#This Row],[No. Invoice :]]="","",ROW())</f>
        <v/>
      </c>
      <c r="B293" s="234" t="str">
        <f ca="1">IF(Table1[[#This Row],[Column3]]="","",B$1+COUNT(INDIRECT("B$2:B"&amp;ROW()-1)))</f>
        <v/>
      </c>
      <c r="C293" s="235" t="str">
        <f>IF(Table1[[#This Row],[Column2]]="","",Table1[[#This Row],[Column2]]+C$1-1)</f>
        <v/>
      </c>
      <c r="E293" s="236"/>
      <c r="F293" s="234"/>
      <c r="G293" s="234" t="str">
        <f ca="1">IF(Table1[[#This Row],[h_No. Invoice :]]="","",CONCATENATE("AM"," ",Table1[[#This Row],[h_No. Invoice :]]))</f>
        <v/>
      </c>
      <c r="H293" s="234" t="str">
        <f>IF(Table1[[#This Row],[Column5]]="","",INDEX(Table2[Column1],MATCH(Table1[[#This Row],[Column5]],Table2[a],0)))</f>
        <v/>
      </c>
      <c r="I293" s="234" t="str">
        <f>IF(Table1[[#This Row],[Column3]]=0,"",CONCATENATE(UPPER(Table1[[#This Row],[Column3]])," ",Table1[[#This Row],[Column4]]))</f>
        <v xml:space="preserve"> </v>
      </c>
      <c r="J293" s="234" t="str">
        <f>IF(Table1[[#This Row],[Column5]]="","",INDEX(Table2[e],IF(Table1[[#This Row],[Column5]]="","",MATCH(Table1[[#This Row],[Column5]],Table2[a],0)),))</f>
        <v/>
      </c>
      <c r="K293" s="234"/>
      <c r="L293" s="234"/>
      <c r="O293" s="234" t="str">
        <f>IF(Table1[[#This Row],[h_Item Description]]="","",INDEX([1]!db[NB PAJAK],MATCH(Table1[[#This Row],[h_Item Description]],[1]!db[kode],0)))</f>
        <v/>
      </c>
      <c r="Q293" s="237"/>
      <c r="R293" s="238"/>
      <c r="S293" s="238"/>
      <c r="T293" s="237" t="str">
        <f>Table1[[#This Row],[h_hargasetelahdiskon]]</f>
        <v/>
      </c>
      <c r="V293" s="234"/>
      <c r="W293" s="234" t="str">
        <f ca="1">IF(Table1[[#This Row],[Column12]]="","",IF(Table1[[#This Row],[//]]="",INDIRECT(ADDRESS(ROW()-1,COLUMN())),Table1[[#This Row],[//]]))</f>
        <v/>
      </c>
      <c r="X293" s="234" t="str">
        <f ca="1">IF(Table1[[#This Row],[h_id]]="","",COUNTIF(Table1[h_id],Table1[[#This Row],[h_id]]))</f>
        <v/>
      </c>
      <c r="Y293" s="237" t="str">
        <f>IF(Table1[[#This Row],[Column12]]="","",Table1[[#This Row],[Qty]]*Table1[[#This Row],[Column13]])</f>
        <v/>
      </c>
      <c r="Z293" s="237" t="str">
        <f>IF(Table1[[#This Row],[h_hargasebelumdiskon]]="","",IF(Table1[[#This Row],[Column14]]="",0,Table1[[#This Row],[h_hargasebelumdiskon]]*Table1[[#This Row],[Column14]]))</f>
        <v/>
      </c>
      <c r="AA293" s="237" t="str">
        <f>IF(Table1[[#This Row],[h_hargasebelumdiskon]]="","",IF(Table1[[#This Row],[Column15]]="",0,(Table1[[#This Row],[h_hargasebelumdiskon]]-Table1[[#This Row],[h_disc 1]])*Table1[[#This Row],[Column15]]))</f>
        <v/>
      </c>
      <c r="AB293" s="237" t="str">
        <f>IF(Table1[[#This Row],[Column12]]="","",Table1[[#This Row],[h_disc 1]]+Table1[[#This Row],[h_disc 2]])</f>
        <v/>
      </c>
      <c r="AC293" s="237" t="str">
        <f>IF(Table1[[#This Row],[Column12]]="","",Table1[[#This Row],[h_hargasebelumdiskon]]-Table1[[#This Row],[h_diskon]])</f>
        <v/>
      </c>
      <c r="AD293" s="237" t="str">
        <f ca="1">IF(Table1[[#This Row],[//]]="","",SUMIF(Table1[h_id],Table1[[#This Row],[h_id]],Table1[h_hargasetelahdiskon]))</f>
        <v/>
      </c>
      <c r="AF293" s="237" t="str">
        <f>Table1[[#This Row],[Column12]]&amp;Table1[[#This Row],[Unit]]&amp;Table1[[#This Row],[Column13]]</f>
        <v/>
      </c>
      <c r="AG293"/>
      <c r="AH293"/>
      <c r="AI293"/>
    </row>
    <row r="294" spans="1:35">
      <c r="A294" s="234" t="str">
        <f ca="1">IF(Table1[[#This Row],[No. Invoice :]]="","",ROW())</f>
        <v/>
      </c>
      <c r="B294" s="234" t="str">
        <f ca="1">IF(Table1[[#This Row],[Column3]]="","",B$1+COUNT(INDIRECT("B$2:B"&amp;ROW()-1)))</f>
        <v/>
      </c>
      <c r="C294" s="235" t="str">
        <f>IF(Table1[[#This Row],[Column2]]="","",Table1[[#This Row],[Column2]]+C$1-1)</f>
        <v/>
      </c>
      <c r="E294" s="236"/>
      <c r="F294" s="234"/>
      <c r="G294" s="234" t="str">
        <f ca="1">IF(Table1[[#This Row],[h_No. Invoice :]]="","",CONCATENATE("AM"," ",Table1[[#This Row],[h_No. Invoice :]]))</f>
        <v/>
      </c>
      <c r="H294" s="234" t="str">
        <f>IF(Table1[[#This Row],[Column5]]="","",INDEX(Table2[Column1],MATCH(Table1[[#This Row],[Column5]],Table2[a],0)))</f>
        <v/>
      </c>
      <c r="I294" s="234" t="str">
        <f>IF(Table1[[#This Row],[Column3]]=0,"",CONCATENATE(UPPER(Table1[[#This Row],[Column3]])," ",Table1[[#This Row],[Column4]]))</f>
        <v xml:space="preserve"> </v>
      </c>
      <c r="J294" s="234" t="str">
        <f>IF(Table1[[#This Row],[Column5]]="","",INDEX(Table2[e],IF(Table1[[#This Row],[Column5]]="","",MATCH(Table1[[#This Row],[Column5]],Table2[a],0)),))</f>
        <v/>
      </c>
      <c r="K294" s="234"/>
      <c r="L294" s="234"/>
      <c r="O294" s="234" t="str">
        <f>IF(Table1[[#This Row],[h_Item Description]]="","",INDEX([1]!db[NB PAJAK],MATCH(Table1[[#This Row],[h_Item Description]],[1]!db[kode],0)))</f>
        <v/>
      </c>
      <c r="Q294" s="237"/>
      <c r="R294" s="238"/>
      <c r="S294" s="238"/>
      <c r="T294" s="237" t="str">
        <f>Table1[[#This Row],[h_hargasetelahdiskon]]</f>
        <v/>
      </c>
      <c r="V294" s="234"/>
      <c r="W294" s="234" t="str">
        <f ca="1">IF(Table1[[#This Row],[Column12]]="","",IF(Table1[[#This Row],[//]]="",INDIRECT(ADDRESS(ROW()-1,COLUMN())),Table1[[#This Row],[//]]))</f>
        <v/>
      </c>
      <c r="X294" s="234" t="str">
        <f ca="1">IF(Table1[[#This Row],[h_id]]="","",COUNTIF(Table1[h_id],Table1[[#This Row],[h_id]]))</f>
        <v/>
      </c>
      <c r="Y294" s="237" t="str">
        <f>IF(Table1[[#This Row],[Column12]]="","",Table1[[#This Row],[Qty]]*Table1[[#This Row],[Column13]])</f>
        <v/>
      </c>
      <c r="Z294" s="237" t="str">
        <f>IF(Table1[[#This Row],[h_hargasebelumdiskon]]="","",IF(Table1[[#This Row],[Column14]]="",0,Table1[[#This Row],[h_hargasebelumdiskon]]*Table1[[#This Row],[Column14]]))</f>
        <v/>
      </c>
      <c r="AA294" s="237" t="str">
        <f>IF(Table1[[#This Row],[h_hargasebelumdiskon]]="","",IF(Table1[[#This Row],[Column15]]="",0,(Table1[[#This Row],[h_hargasebelumdiskon]]-Table1[[#This Row],[h_disc 1]])*Table1[[#This Row],[Column15]]))</f>
        <v/>
      </c>
      <c r="AB294" s="237" t="str">
        <f>IF(Table1[[#This Row],[Column12]]="","",Table1[[#This Row],[h_disc 1]]+Table1[[#This Row],[h_disc 2]])</f>
        <v/>
      </c>
      <c r="AC294" s="237" t="str">
        <f>IF(Table1[[#This Row],[Column12]]="","",Table1[[#This Row],[h_hargasebelumdiskon]]-Table1[[#This Row],[h_diskon]])</f>
        <v/>
      </c>
      <c r="AD294" s="237" t="str">
        <f ca="1">IF(Table1[[#This Row],[//]]="","",SUMIF(Table1[h_id],Table1[[#This Row],[h_id]],Table1[h_hargasetelahdiskon]))</f>
        <v/>
      </c>
      <c r="AF294" s="237" t="str">
        <f>Table1[[#This Row],[Column12]]&amp;Table1[[#This Row],[Unit]]&amp;Table1[[#This Row],[Column13]]</f>
        <v/>
      </c>
      <c r="AG294"/>
      <c r="AH294"/>
      <c r="AI294"/>
    </row>
    <row r="295" spans="1:35">
      <c r="A295" s="234" t="str">
        <f ca="1">IF(Table1[[#This Row],[No. Invoice :]]="","",ROW())</f>
        <v/>
      </c>
      <c r="B295" s="234" t="str">
        <f ca="1">IF(Table1[[#This Row],[Column3]]="","",B$1+COUNT(INDIRECT("B$2:B"&amp;ROW()-1)))</f>
        <v/>
      </c>
      <c r="C295" s="235" t="str">
        <f>IF(Table1[[#This Row],[Column2]]="","",Table1[[#This Row],[Column2]]+C$1-1)</f>
        <v/>
      </c>
      <c r="E295" s="236"/>
      <c r="F295" s="234"/>
      <c r="G295" s="234" t="str">
        <f ca="1">IF(Table1[[#This Row],[h_No. Invoice :]]="","",CONCATENATE("AM"," ",Table1[[#This Row],[h_No. Invoice :]]))</f>
        <v/>
      </c>
      <c r="H295" s="234" t="str">
        <f>IF(Table1[[#This Row],[Column5]]="","",INDEX(Table2[Column1],MATCH(Table1[[#This Row],[Column5]],Table2[a],0)))</f>
        <v/>
      </c>
      <c r="I295" s="234" t="str">
        <f>IF(Table1[[#This Row],[Column3]]=0,"",CONCATENATE(UPPER(Table1[[#This Row],[Column3]])," ",Table1[[#This Row],[Column4]]))</f>
        <v xml:space="preserve"> </v>
      </c>
      <c r="J295" s="234" t="str">
        <f>IF(Table1[[#This Row],[Column5]]="","",INDEX(Table2[e],IF(Table1[[#This Row],[Column5]]="","",MATCH(Table1[[#This Row],[Column5]],Table2[a],0)),))</f>
        <v/>
      </c>
      <c r="K295" s="234"/>
      <c r="L295" s="234"/>
      <c r="O295" s="234" t="str">
        <f>IF(Table1[[#This Row],[h_Item Description]]="","",INDEX([1]!db[NB PAJAK],MATCH(Table1[[#This Row],[h_Item Description]],[1]!db[kode],0)))</f>
        <v/>
      </c>
      <c r="Q295" s="237"/>
      <c r="R295" s="238"/>
      <c r="S295" s="238"/>
      <c r="T295" s="237" t="str">
        <f>Table1[[#This Row],[h_hargasetelahdiskon]]</f>
        <v/>
      </c>
      <c r="V295" s="234"/>
      <c r="W295" s="234" t="str">
        <f ca="1">IF(Table1[[#This Row],[Column12]]="","",IF(Table1[[#This Row],[//]]="",INDIRECT(ADDRESS(ROW()-1,COLUMN())),Table1[[#This Row],[//]]))</f>
        <v/>
      </c>
      <c r="X295" s="234" t="str">
        <f ca="1">IF(Table1[[#This Row],[h_id]]="","",COUNTIF(Table1[h_id],Table1[[#This Row],[h_id]]))</f>
        <v/>
      </c>
      <c r="Y295" s="237" t="str">
        <f>IF(Table1[[#This Row],[Column12]]="","",Table1[[#This Row],[Qty]]*Table1[[#This Row],[Column13]])</f>
        <v/>
      </c>
      <c r="Z295" s="237" t="str">
        <f>IF(Table1[[#This Row],[h_hargasebelumdiskon]]="","",IF(Table1[[#This Row],[Column14]]="",0,Table1[[#This Row],[h_hargasebelumdiskon]]*Table1[[#This Row],[Column14]]))</f>
        <v/>
      </c>
      <c r="AA295" s="237" t="str">
        <f>IF(Table1[[#This Row],[h_hargasebelumdiskon]]="","",IF(Table1[[#This Row],[Column15]]="",0,(Table1[[#This Row],[h_hargasebelumdiskon]]-Table1[[#This Row],[h_disc 1]])*Table1[[#This Row],[Column15]]))</f>
        <v/>
      </c>
      <c r="AB295" s="237" t="str">
        <f>IF(Table1[[#This Row],[Column12]]="","",Table1[[#This Row],[h_disc 1]]+Table1[[#This Row],[h_disc 2]])</f>
        <v/>
      </c>
      <c r="AC295" s="237" t="str">
        <f>IF(Table1[[#This Row],[Column12]]="","",Table1[[#This Row],[h_hargasebelumdiskon]]-Table1[[#This Row],[h_diskon]])</f>
        <v/>
      </c>
      <c r="AD295" s="237" t="str">
        <f ca="1">IF(Table1[[#This Row],[//]]="","",SUMIF(Table1[h_id],Table1[[#This Row],[h_id]],Table1[h_hargasetelahdiskon]))</f>
        <v/>
      </c>
      <c r="AF295" s="237" t="str">
        <f>Table1[[#This Row],[Column12]]&amp;Table1[[#This Row],[Unit]]&amp;Table1[[#This Row],[Column13]]</f>
        <v/>
      </c>
      <c r="AG295"/>
      <c r="AH295"/>
      <c r="AI295"/>
    </row>
    <row r="296" spans="1:35">
      <c r="A296" s="234" t="str">
        <f ca="1">IF(Table1[[#This Row],[No. Invoice :]]="","",ROW())</f>
        <v/>
      </c>
      <c r="B296" s="234" t="str">
        <f ca="1">IF(Table1[[#This Row],[Column3]]="","",B$1+COUNT(INDIRECT("B$2:B"&amp;ROW()-1)))</f>
        <v/>
      </c>
      <c r="C296" s="235" t="str">
        <f>IF(Table1[[#This Row],[Column2]]="","",Table1[[#This Row],[Column2]]+C$1-1)</f>
        <v/>
      </c>
      <c r="E296" s="236"/>
      <c r="F296" s="234"/>
      <c r="G296" s="234" t="str">
        <f ca="1">IF(Table1[[#This Row],[h_No. Invoice :]]="","",CONCATENATE("AM"," ",Table1[[#This Row],[h_No. Invoice :]]))</f>
        <v/>
      </c>
      <c r="H296" s="234" t="str">
        <f>IF(Table1[[#This Row],[Column5]]="","",INDEX(Table2[Column1],MATCH(Table1[[#This Row],[Column5]],Table2[a],0)))</f>
        <v/>
      </c>
      <c r="I296" s="234" t="str">
        <f>IF(Table1[[#This Row],[Column3]]=0,"",CONCATENATE(UPPER(Table1[[#This Row],[Column3]])," ",Table1[[#This Row],[Column4]]))</f>
        <v xml:space="preserve"> </v>
      </c>
      <c r="J296" s="234" t="str">
        <f>IF(Table1[[#This Row],[Column5]]="","",INDEX(Table2[e],IF(Table1[[#This Row],[Column5]]="","",MATCH(Table1[[#This Row],[Column5]],Table2[a],0)),))</f>
        <v/>
      </c>
      <c r="K296" s="234"/>
      <c r="L296" s="234"/>
      <c r="O296" s="234" t="str">
        <f>IF(Table1[[#This Row],[h_Item Description]]="","",INDEX([1]!db[NB PAJAK],MATCH(Table1[[#This Row],[h_Item Description]],[1]!db[kode],0)))</f>
        <v/>
      </c>
      <c r="Q296" s="237"/>
      <c r="R296" s="238"/>
      <c r="S296" s="238"/>
      <c r="T296" s="237" t="str">
        <f>Table1[[#This Row],[h_hargasetelahdiskon]]</f>
        <v/>
      </c>
      <c r="V296" s="234"/>
      <c r="W296" s="234" t="str">
        <f ca="1">IF(Table1[[#This Row],[Column12]]="","",IF(Table1[[#This Row],[//]]="",INDIRECT(ADDRESS(ROW()-1,COLUMN())),Table1[[#This Row],[//]]))</f>
        <v/>
      </c>
      <c r="X296" s="234" t="str">
        <f ca="1">IF(Table1[[#This Row],[h_id]]="","",COUNTIF(Table1[h_id],Table1[[#This Row],[h_id]]))</f>
        <v/>
      </c>
      <c r="Y296" s="237" t="str">
        <f>IF(Table1[[#This Row],[Column12]]="","",Table1[[#This Row],[Qty]]*Table1[[#This Row],[Column13]])</f>
        <v/>
      </c>
      <c r="Z296" s="237" t="str">
        <f>IF(Table1[[#This Row],[h_hargasebelumdiskon]]="","",IF(Table1[[#This Row],[Column14]]="",0,Table1[[#This Row],[h_hargasebelumdiskon]]*Table1[[#This Row],[Column14]]))</f>
        <v/>
      </c>
      <c r="AA296" s="237" t="str">
        <f>IF(Table1[[#This Row],[h_hargasebelumdiskon]]="","",IF(Table1[[#This Row],[Column15]]="",0,(Table1[[#This Row],[h_hargasebelumdiskon]]-Table1[[#This Row],[h_disc 1]])*Table1[[#This Row],[Column15]]))</f>
        <v/>
      </c>
      <c r="AB296" s="237" t="str">
        <f>IF(Table1[[#This Row],[Column12]]="","",Table1[[#This Row],[h_disc 1]]+Table1[[#This Row],[h_disc 2]])</f>
        <v/>
      </c>
      <c r="AC296" s="237" t="str">
        <f>IF(Table1[[#This Row],[Column12]]="","",Table1[[#This Row],[h_hargasebelumdiskon]]-Table1[[#This Row],[h_diskon]])</f>
        <v/>
      </c>
      <c r="AD296" s="237" t="str">
        <f ca="1">IF(Table1[[#This Row],[//]]="","",SUMIF(Table1[h_id],Table1[[#This Row],[h_id]],Table1[h_hargasetelahdiskon]))</f>
        <v/>
      </c>
      <c r="AF296" s="237" t="str">
        <f>Table1[[#This Row],[Column12]]&amp;Table1[[#This Row],[Unit]]&amp;Table1[[#This Row],[Column13]]</f>
        <v/>
      </c>
      <c r="AG296"/>
      <c r="AH296"/>
      <c r="AI296"/>
    </row>
    <row r="297" spans="1:35">
      <c r="A297" s="234" t="str">
        <f ca="1">IF(Table1[[#This Row],[No. Invoice :]]="","",ROW())</f>
        <v/>
      </c>
      <c r="B297" s="234" t="str">
        <f ca="1">IF(Table1[[#This Row],[Column3]]="","",B$1+COUNT(INDIRECT("B$2:B"&amp;ROW()-1)))</f>
        <v/>
      </c>
      <c r="C297" s="235" t="str">
        <f>IF(Table1[[#This Row],[Column2]]="","",Table1[[#This Row],[Column2]]+C$1-1)</f>
        <v/>
      </c>
      <c r="E297" s="236"/>
      <c r="F297" s="234"/>
      <c r="G297" s="234" t="str">
        <f ca="1">IF(Table1[[#This Row],[h_No. Invoice :]]="","",CONCATENATE("AM"," ",Table1[[#This Row],[h_No. Invoice :]]))</f>
        <v/>
      </c>
      <c r="H297" s="234" t="str">
        <f>IF(Table1[[#This Row],[Column5]]="","",INDEX(Table2[Column1],MATCH(Table1[[#This Row],[Column5]],Table2[a],0)))</f>
        <v/>
      </c>
      <c r="I297" s="234" t="str">
        <f>IF(Table1[[#This Row],[Column3]]=0,"",CONCATENATE(UPPER(Table1[[#This Row],[Column3]])," ",Table1[[#This Row],[Column4]]))</f>
        <v xml:space="preserve"> </v>
      </c>
      <c r="J297" s="234" t="str">
        <f>IF(Table1[[#This Row],[Column5]]="","",INDEX(Table2[e],IF(Table1[[#This Row],[Column5]]="","",MATCH(Table1[[#This Row],[Column5]],Table2[a],0)),))</f>
        <v/>
      </c>
      <c r="K297" s="234"/>
      <c r="L297" s="234"/>
      <c r="O297" s="234" t="str">
        <f>IF(Table1[[#This Row],[h_Item Description]]="","",INDEX([1]!db[NB PAJAK],MATCH(Table1[[#This Row],[h_Item Description]],[1]!db[kode],0)))</f>
        <v/>
      </c>
      <c r="Q297" s="237"/>
      <c r="R297" s="238"/>
      <c r="S297" s="238"/>
      <c r="T297" s="237" t="str">
        <f>Table1[[#This Row],[h_hargasetelahdiskon]]</f>
        <v/>
      </c>
      <c r="V297" s="234"/>
      <c r="W297" s="234" t="str">
        <f ca="1">IF(Table1[[#This Row],[Column12]]="","",IF(Table1[[#This Row],[//]]="",INDIRECT(ADDRESS(ROW()-1,COLUMN())),Table1[[#This Row],[//]]))</f>
        <v/>
      </c>
      <c r="X297" s="234" t="str">
        <f ca="1">IF(Table1[[#This Row],[h_id]]="","",COUNTIF(Table1[h_id],Table1[[#This Row],[h_id]]))</f>
        <v/>
      </c>
      <c r="Y297" s="237" t="str">
        <f>IF(Table1[[#This Row],[Column12]]="","",Table1[[#This Row],[Qty]]*Table1[[#This Row],[Column13]])</f>
        <v/>
      </c>
      <c r="Z297" s="237" t="str">
        <f>IF(Table1[[#This Row],[h_hargasebelumdiskon]]="","",IF(Table1[[#This Row],[Column14]]="",0,Table1[[#This Row],[h_hargasebelumdiskon]]*Table1[[#This Row],[Column14]]))</f>
        <v/>
      </c>
      <c r="AA297" s="237" t="str">
        <f>IF(Table1[[#This Row],[h_hargasebelumdiskon]]="","",IF(Table1[[#This Row],[Column15]]="",0,(Table1[[#This Row],[h_hargasebelumdiskon]]-Table1[[#This Row],[h_disc 1]])*Table1[[#This Row],[Column15]]))</f>
        <v/>
      </c>
      <c r="AB297" s="237" t="str">
        <f>IF(Table1[[#This Row],[Column12]]="","",Table1[[#This Row],[h_disc 1]]+Table1[[#This Row],[h_disc 2]])</f>
        <v/>
      </c>
      <c r="AC297" s="237" t="str">
        <f>IF(Table1[[#This Row],[Column12]]="","",Table1[[#This Row],[h_hargasebelumdiskon]]-Table1[[#This Row],[h_diskon]])</f>
        <v/>
      </c>
      <c r="AD297" s="237" t="str">
        <f ca="1">IF(Table1[[#This Row],[//]]="","",SUMIF(Table1[h_id],Table1[[#This Row],[h_id]],Table1[h_hargasetelahdiskon]))</f>
        <v/>
      </c>
      <c r="AF297" s="237" t="str">
        <f>Table1[[#This Row],[Column12]]&amp;Table1[[#This Row],[Unit]]&amp;Table1[[#This Row],[Column13]]</f>
        <v/>
      </c>
      <c r="AG297"/>
      <c r="AH297"/>
      <c r="AI297"/>
    </row>
    <row r="298" spans="1:35">
      <c r="A298" s="234" t="str">
        <f ca="1">IF(Table1[[#This Row],[No. Invoice :]]="","",ROW())</f>
        <v/>
      </c>
      <c r="B298" s="234" t="str">
        <f ca="1">IF(Table1[[#This Row],[Column3]]="","",B$1+COUNT(INDIRECT("B$2:B"&amp;ROW()-1)))</f>
        <v/>
      </c>
      <c r="C298" s="235" t="str">
        <f>IF(Table1[[#This Row],[Column2]]="","",Table1[[#This Row],[Column2]]+C$1-1)</f>
        <v/>
      </c>
      <c r="E298" s="236"/>
      <c r="F298" s="234"/>
      <c r="G298" s="234" t="str">
        <f ca="1">IF(Table1[[#This Row],[h_No. Invoice :]]="","",CONCATENATE("AM"," ",Table1[[#This Row],[h_No. Invoice :]]))</f>
        <v/>
      </c>
      <c r="H298" s="234" t="str">
        <f>IF(Table1[[#This Row],[Column5]]="","",INDEX(Table2[Column1],MATCH(Table1[[#This Row],[Column5]],Table2[a],0)))</f>
        <v/>
      </c>
      <c r="I298" s="234" t="str">
        <f>IF(Table1[[#This Row],[Column3]]=0,"",CONCATENATE(UPPER(Table1[[#This Row],[Column3]])," ",Table1[[#This Row],[Column4]]))</f>
        <v xml:space="preserve"> </v>
      </c>
      <c r="J298" s="234" t="str">
        <f>IF(Table1[[#This Row],[Column5]]="","",INDEX(Table2[e],IF(Table1[[#This Row],[Column5]]="","",MATCH(Table1[[#This Row],[Column5]],Table2[a],0)),))</f>
        <v/>
      </c>
      <c r="K298" s="234"/>
      <c r="L298" s="234"/>
      <c r="O298" s="234" t="str">
        <f>IF(Table1[[#This Row],[h_Item Description]]="","",INDEX([1]!db[NB PAJAK],MATCH(Table1[[#This Row],[h_Item Description]],[1]!db[kode],0)))</f>
        <v/>
      </c>
      <c r="Q298" s="237"/>
      <c r="R298" s="238"/>
      <c r="S298" s="238"/>
      <c r="T298" s="237" t="str">
        <f>Table1[[#This Row],[h_hargasetelahdiskon]]</f>
        <v/>
      </c>
      <c r="V298" s="234"/>
      <c r="W298" s="234" t="str">
        <f ca="1">IF(Table1[[#This Row],[Column12]]="","",IF(Table1[[#This Row],[//]]="",INDIRECT(ADDRESS(ROW()-1,COLUMN())),Table1[[#This Row],[//]]))</f>
        <v/>
      </c>
      <c r="X298" s="234" t="str">
        <f ca="1">IF(Table1[[#This Row],[h_id]]="","",COUNTIF(Table1[h_id],Table1[[#This Row],[h_id]]))</f>
        <v/>
      </c>
      <c r="Y298" s="237" t="str">
        <f>IF(Table1[[#This Row],[Column12]]="","",Table1[[#This Row],[Qty]]*Table1[[#This Row],[Column13]])</f>
        <v/>
      </c>
      <c r="Z298" s="237" t="str">
        <f>IF(Table1[[#This Row],[h_hargasebelumdiskon]]="","",IF(Table1[[#This Row],[Column14]]="",0,Table1[[#This Row],[h_hargasebelumdiskon]]*Table1[[#This Row],[Column14]]))</f>
        <v/>
      </c>
      <c r="AA298" s="237" t="str">
        <f>IF(Table1[[#This Row],[h_hargasebelumdiskon]]="","",IF(Table1[[#This Row],[Column15]]="",0,(Table1[[#This Row],[h_hargasebelumdiskon]]-Table1[[#This Row],[h_disc 1]])*Table1[[#This Row],[Column15]]))</f>
        <v/>
      </c>
      <c r="AB298" s="237" t="str">
        <f>IF(Table1[[#This Row],[Column12]]="","",Table1[[#This Row],[h_disc 1]]+Table1[[#This Row],[h_disc 2]])</f>
        <v/>
      </c>
      <c r="AC298" s="237" t="str">
        <f>IF(Table1[[#This Row],[Column12]]="","",Table1[[#This Row],[h_hargasebelumdiskon]]-Table1[[#This Row],[h_diskon]])</f>
        <v/>
      </c>
      <c r="AD298" s="237" t="str">
        <f ca="1">IF(Table1[[#This Row],[//]]="","",SUMIF(Table1[h_id],Table1[[#This Row],[h_id]],Table1[h_hargasetelahdiskon]))</f>
        <v/>
      </c>
      <c r="AF298" s="237" t="str">
        <f>Table1[[#This Row],[Column12]]&amp;Table1[[#This Row],[Unit]]&amp;Table1[[#This Row],[Column13]]</f>
        <v/>
      </c>
      <c r="AG298"/>
      <c r="AH298"/>
      <c r="AI298"/>
    </row>
    <row r="299" spans="1:35">
      <c r="A299" s="234" t="str">
        <f ca="1">IF(Table1[[#This Row],[No. Invoice :]]="","",ROW())</f>
        <v/>
      </c>
      <c r="B299" s="234" t="str">
        <f ca="1">IF(Table1[[#This Row],[Column3]]="","",B$1+COUNT(INDIRECT("B$2:B"&amp;ROW()-1)))</f>
        <v/>
      </c>
      <c r="C299" s="235" t="str">
        <f>IF(Table1[[#This Row],[Column2]]="","",Table1[[#This Row],[Column2]]+C$1-1)</f>
        <v/>
      </c>
      <c r="E299" s="236"/>
      <c r="F299" s="234"/>
      <c r="G299" s="234" t="str">
        <f ca="1">IF(Table1[[#This Row],[h_No. Invoice :]]="","",CONCATENATE("AM"," ",Table1[[#This Row],[h_No. Invoice :]]))</f>
        <v/>
      </c>
      <c r="H299" s="234" t="str">
        <f>IF(Table1[[#This Row],[Column5]]="","",INDEX(Table2[Column1],MATCH(Table1[[#This Row],[Column5]],Table2[a],0)))</f>
        <v/>
      </c>
      <c r="I299" s="234" t="str">
        <f>IF(Table1[[#This Row],[Column3]]=0,"",CONCATENATE(UPPER(Table1[[#This Row],[Column3]])," ",Table1[[#This Row],[Column4]]))</f>
        <v xml:space="preserve"> </v>
      </c>
      <c r="J299" s="234" t="str">
        <f>IF(Table1[[#This Row],[Column5]]="","",INDEX(Table2[e],IF(Table1[[#This Row],[Column5]]="","",MATCH(Table1[[#This Row],[Column5]],Table2[a],0)),))</f>
        <v/>
      </c>
      <c r="K299" s="234"/>
      <c r="L299" s="234"/>
      <c r="O299" s="234" t="str">
        <f>IF(Table1[[#This Row],[h_Item Description]]="","",INDEX([1]!db[NB PAJAK],MATCH(Table1[[#This Row],[h_Item Description]],[1]!db[kode],0)))</f>
        <v/>
      </c>
      <c r="Q299" s="237"/>
      <c r="R299" s="238"/>
      <c r="S299" s="238"/>
      <c r="T299" s="237" t="str">
        <f>Table1[[#This Row],[h_hargasetelahdiskon]]</f>
        <v/>
      </c>
      <c r="V299" s="234"/>
      <c r="W299" s="234" t="str">
        <f ca="1">IF(Table1[[#This Row],[Column12]]="","",IF(Table1[[#This Row],[//]]="",INDIRECT(ADDRESS(ROW()-1,COLUMN())),Table1[[#This Row],[//]]))</f>
        <v/>
      </c>
      <c r="X299" s="234" t="str">
        <f ca="1">IF(Table1[[#This Row],[h_id]]="","",COUNTIF(Table1[h_id],Table1[[#This Row],[h_id]]))</f>
        <v/>
      </c>
      <c r="Y299" s="237" t="str">
        <f>IF(Table1[[#This Row],[Column12]]="","",Table1[[#This Row],[Qty]]*Table1[[#This Row],[Column13]])</f>
        <v/>
      </c>
      <c r="Z299" s="237" t="str">
        <f>IF(Table1[[#This Row],[h_hargasebelumdiskon]]="","",IF(Table1[[#This Row],[Column14]]="",0,Table1[[#This Row],[h_hargasebelumdiskon]]*Table1[[#This Row],[Column14]]))</f>
        <v/>
      </c>
      <c r="AA299" s="237" t="str">
        <f>IF(Table1[[#This Row],[h_hargasebelumdiskon]]="","",IF(Table1[[#This Row],[Column15]]="",0,(Table1[[#This Row],[h_hargasebelumdiskon]]-Table1[[#This Row],[h_disc 1]])*Table1[[#This Row],[Column15]]))</f>
        <v/>
      </c>
      <c r="AB299" s="237" t="str">
        <f>IF(Table1[[#This Row],[Column12]]="","",Table1[[#This Row],[h_disc 1]]+Table1[[#This Row],[h_disc 2]])</f>
        <v/>
      </c>
      <c r="AC299" s="237" t="str">
        <f>IF(Table1[[#This Row],[Column12]]="","",Table1[[#This Row],[h_hargasebelumdiskon]]-Table1[[#This Row],[h_diskon]])</f>
        <v/>
      </c>
      <c r="AD299" s="237" t="str">
        <f ca="1">IF(Table1[[#This Row],[//]]="","",SUMIF(Table1[h_id],Table1[[#This Row],[h_id]],Table1[h_hargasetelahdiskon]))</f>
        <v/>
      </c>
      <c r="AF299" s="237" t="str">
        <f>Table1[[#This Row],[Column12]]&amp;Table1[[#This Row],[Unit]]&amp;Table1[[#This Row],[Column13]]</f>
        <v/>
      </c>
      <c r="AG299"/>
      <c r="AH299"/>
      <c r="AI299"/>
    </row>
    <row r="300" spans="1:35">
      <c r="A300" s="234" t="str">
        <f ca="1">IF(Table1[[#This Row],[No. Invoice :]]="","",ROW())</f>
        <v/>
      </c>
      <c r="B300" s="234" t="str">
        <f ca="1">IF(Table1[[#This Row],[Column3]]="","",B$1+COUNT(INDIRECT("B$2:B"&amp;ROW()-1)))</f>
        <v/>
      </c>
      <c r="C300" s="235" t="str">
        <f>IF(Table1[[#This Row],[Column2]]="","",Table1[[#This Row],[Column2]]+C$1-1)</f>
        <v/>
      </c>
      <c r="E300" s="236"/>
      <c r="F300" s="234"/>
      <c r="G300" s="234" t="str">
        <f ca="1">IF(Table1[[#This Row],[h_No. Invoice :]]="","",CONCATENATE("AM"," ",Table1[[#This Row],[h_No. Invoice :]]))</f>
        <v/>
      </c>
      <c r="H300" s="234" t="str">
        <f>IF(Table1[[#This Row],[Column5]]="","",INDEX(Table2[Column1],MATCH(Table1[[#This Row],[Column5]],Table2[a],0)))</f>
        <v/>
      </c>
      <c r="I300" s="234" t="str">
        <f>IF(Table1[[#This Row],[Column3]]=0,"",CONCATENATE(UPPER(Table1[[#This Row],[Column3]])," ",Table1[[#This Row],[Column4]]))</f>
        <v xml:space="preserve"> </v>
      </c>
      <c r="J300" s="234" t="str">
        <f>IF(Table1[[#This Row],[Column5]]="","",INDEX(Table2[e],IF(Table1[[#This Row],[Column5]]="","",MATCH(Table1[[#This Row],[Column5]],Table2[a],0)),))</f>
        <v/>
      </c>
      <c r="K300" s="234"/>
      <c r="L300" s="234"/>
      <c r="O300" s="234" t="str">
        <f>IF(Table1[[#This Row],[h_Item Description]]="","",INDEX([1]!db[NB PAJAK],MATCH(Table1[[#This Row],[h_Item Description]],[1]!db[kode],0)))</f>
        <v/>
      </c>
      <c r="Q300" s="237"/>
      <c r="R300" s="238"/>
      <c r="S300" s="238"/>
      <c r="T300" s="237" t="str">
        <f>Table1[[#This Row],[h_hargasetelahdiskon]]</f>
        <v/>
      </c>
      <c r="V300" s="234"/>
      <c r="W300" s="234" t="str">
        <f ca="1">IF(Table1[[#This Row],[Column12]]="","",IF(Table1[[#This Row],[//]]="",INDIRECT(ADDRESS(ROW()-1,COLUMN())),Table1[[#This Row],[//]]))</f>
        <v/>
      </c>
      <c r="X300" s="234" t="str">
        <f ca="1">IF(Table1[[#This Row],[h_id]]="","",COUNTIF(Table1[h_id],Table1[[#This Row],[h_id]]))</f>
        <v/>
      </c>
      <c r="Y300" s="237" t="str">
        <f>IF(Table1[[#This Row],[Column12]]="","",Table1[[#This Row],[Qty]]*Table1[[#This Row],[Column13]])</f>
        <v/>
      </c>
      <c r="Z300" s="237" t="str">
        <f>IF(Table1[[#This Row],[h_hargasebelumdiskon]]="","",IF(Table1[[#This Row],[Column14]]="",0,Table1[[#This Row],[h_hargasebelumdiskon]]*Table1[[#This Row],[Column14]]))</f>
        <v/>
      </c>
      <c r="AA300" s="237" t="str">
        <f>IF(Table1[[#This Row],[h_hargasebelumdiskon]]="","",IF(Table1[[#This Row],[Column15]]="",0,(Table1[[#This Row],[h_hargasebelumdiskon]]-Table1[[#This Row],[h_disc 1]])*Table1[[#This Row],[Column15]]))</f>
        <v/>
      </c>
      <c r="AB300" s="237" t="str">
        <f>IF(Table1[[#This Row],[Column12]]="","",Table1[[#This Row],[h_disc 1]]+Table1[[#This Row],[h_disc 2]])</f>
        <v/>
      </c>
      <c r="AC300" s="237" t="str">
        <f>IF(Table1[[#This Row],[Column12]]="","",Table1[[#This Row],[h_hargasebelumdiskon]]-Table1[[#This Row],[h_diskon]])</f>
        <v/>
      </c>
      <c r="AD300" s="237" t="str">
        <f ca="1">IF(Table1[[#This Row],[//]]="","",SUMIF(Table1[h_id],Table1[[#This Row],[h_id]],Table1[h_hargasetelahdiskon]))</f>
        <v/>
      </c>
      <c r="AF300" s="237" t="str">
        <f>Table1[[#This Row],[Column12]]&amp;Table1[[#This Row],[Unit]]&amp;Table1[[#This Row],[Column13]]</f>
        <v/>
      </c>
      <c r="AG300"/>
      <c r="AH300"/>
      <c r="AI300"/>
    </row>
    <row r="301" spans="1:35">
      <c r="A301" s="234" t="str">
        <f ca="1">IF(Table1[[#This Row],[No. Invoice :]]="","",ROW())</f>
        <v/>
      </c>
      <c r="B301" s="234" t="str">
        <f ca="1">IF(Table1[[#This Row],[Column3]]="","",B$1+COUNT(INDIRECT("B$2:B"&amp;ROW()-1)))</f>
        <v/>
      </c>
      <c r="C301" s="235" t="str">
        <f>IF(Table1[[#This Row],[Column2]]="","",Table1[[#This Row],[Column2]]+C$1-1)</f>
        <v/>
      </c>
      <c r="E301" s="236"/>
      <c r="F301" s="234"/>
      <c r="G301" s="234" t="str">
        <f ca="1">IF(Table1[[#This Row],[h_No. Invoice :]]="","",CONCATENATE("AM"," ",Table1[[#This Row],[h_No. Invoice :]]))</f>
        <v/>
      </c>
      <c r="H301" s="234" t="str">
        <f>IF(Table1[[#This Row],[Column5]]="","",INDEX(Table2[Column1],MATCH(Table1[[#This Row],[Column5]],Table2[a],0)))</f>
        <v/>
      </c>
      <c r="I301" s="234" t="str">
        <f>IF(Table1[[#This Row],[Column3]]=0,"",CONCATENATE(UPPER(Table1[[#This Row],[Column3]])," ",Table1[[#This Row],[Column4]]))</f>
        <v xml:space="preserve"> </v>
      </c>
      <c r="J301" s="234" t="str">
        <f>IF(Table1[[#This Row],[Column5]]="","",INDEX(Table2[e],IF(Table1[[#This Row],[Column5]]="","",MATCH(Table1[[#This Row],[Column5]],Table2[a],0)),))</f>
        <v/>
      </c>
      <c r="K301" s="234"/>
      <c r="L301" s="234"/>
      <c r="O301" s="234" t="str">
        <f>IF(Table1[[#This Row],[h_Item Description]]="","",INDEX([1]!db[NB PAJAK],MATCH(Table1[[#This Row],[h_Item Description]],[1]!db[kode],0)))</f>
        <v/>
      </c>
      <c r="Q301" s="237"/>
      <c r="R301" s="238"/>
      <c r="S301" s="238"/>
      <c r="T301" s="237" t="str">
        <f>Table1[[#This Row],[h_hargasetelahdiskon]]</f>
        <v/>
      </c>
      <c r="V301" s="234"/>
      <c r="W301" s="234" t="str">
        <f ca="1">IF(Table1[[#This Row],[Column12]]="","",IF(Table1[[#This Row],[//]]="",INDIRECT(ADDRESS(ROW()-1,COLUMN())),Table1[[#This Row],[//]]))</f>
        <v/>
      </c>
      <c r="X301" s="234" t="str">
        <f ca="1">IF(Table1[[#This Row],[h_id]]="","",COUNTIF(Table1[h_id],Table1[[#This Row],[h_id]]))</f>
        <v/>
      </c>
      <c r="Y301" s="237" t="str">
        <f>IF(Table1[[#This Row],[Column12]]="","",Table1[[#This Row],[Qty]]*Table1[[#This Row],[Column13]])</f>
        <v/>
      </c>
      <c r="Z301" s="237" t="str">
        <f>IF(Table1[[#This Row],[h_hargasebelumdiskon]]="","",IF(Table1[[#This Row],[Column14]]="",0,Table1[[#This Row],[h_hargasebelumdiskon]]*Table1[[#This Row],[Column14]]))</f>
        <v/>
      </c>
      <c r="AA301" s="237" t="str">
        <f>IF(Table1[[#This Row],[h_hargasebelumdiskon]]="","",IF(Table1[[#This Row],[Column15]]="",0,(Table1[[#This Row],[h_hargasebelumdiskon]]-Table1[[#This Row],[h_disc 1]])*Table1[[#This Row],[Column15]]))</f>
        <v/>
      </c>
      <c r="AB301" s="237" t="str">
        <f>IF(Table1[[#This Row],[Column12]]="","",Table1[[#This Row],[h_disc 1]]+Table1[[#This Row],[h_disc 2]])</f>
        <v/>
      </c>
      <c r="AC301" s="237" t="str">
        <f>IF(Table1[[#This Row],[Column12]]="","",Table1[[#This Row],[h_hargasebelumdiskon]]-Table1[[#This Row],[h_diskon]])</f>
        <v/>
      </c>
      <c r="AD301" s="237" t="str">
        <f ca="1">IF(Table1[[#This Row],[//]]="","",SUMIF(Table1[h_id],Table1[[#This Row],[h_id]],Table1[h_hargasetelahdiskon]))</f>
        <v/>
      </c>
      <c r="AF301" s="237" t="str">
        <f>Table1[[#This Row],[Column12]]&amp;Table1[[#This Row],[Unit]]&amp;Table1[[#This Row],[Column13]]</f>
        <v/>
      </c>
      <c r="AG301"/>
      <c r="AH301"/>
      <c r="AI301"/>
    </row>
    <row r="302" spans="1:35">
      <c r="A302" s="234" t="str">
        <f ca="1">IF(Table1[[#This Row],[No. Invoice :]]="","",ROW())</f>
        <v/>
      </c>
      <c r="B302" s="234" t="str">
        <f ca="1">IF(Table1[[#This Row],[Column3]]="","",B$1+COUNT(INDIRECT("B$2:B"&amp;ROW()-1)))</f>
        <v/>
      </c>
      <c r="C302" s="235" t="str">
        <f>IF(Table1[[#This Row],[Column2]]="","",Table1[[#This Row],[Column2]]+C$1-1)</f>
        <v/>
      </c>
      <c r="E302" s="236"/>
      <c r="F302" s="234"/>
      <c r="G302" s="234" t="str">
        <f ca="1">IF(Table1[[#This Row],[h_No. Invoice :]]="","",CONCATENATE("AM"," ",Table1[[#This Row],[h_No. Invoice :]]))</f>
        <v/>
      </c>
      <c r="H302" s="234" t="str">
        <f>IF(Table1[[#This Row],[Column5]]="","",INDEX(Table2[Column1],MATCH(Table1[[#This Row],[Column5]],Table2[a],0)))</f>
        <v/>
      </c>
      <c r="I302" s="234" t="str">
        <f>IF(Table1[[#This Row],[Column3]]=0,"",CONCATENATE(UPPER(Table1[[#This Row],[Column3]])," ",Table1[[#This Row],[Column4]]))</f>
        <v xml:space="preserve"> </v>
      </c>
      <c r="J302" s="234" t="str">
        <f>IF(Table1[[#This Row],[Column5]]="","",INDEX(Table2[e],IF(Table1[[#This Row],[Column5]]="","",MATCH(Table1[[#This Row],[Column5]],Table2[a],0)),))</f>
        <v/>
      </c>
      <c r="K302" s="234"/>
      <c r="L302" s="234"/>
      <c r="O302" s="234" t="str">
        <f>IF(Table1[[#This Row],[h_Item Description]]="","",INDEX([1]!db[NB PAJAK],MATCH(Table1[[#This Row],[h_Item Description]],[1]!db[kode],0)))</f>
        <v/>
      </c>
      <c r="Q302" s="237"/>
      <c r="R302" s="238"/>
      <c r="S302" s="238"/>
      <c r="T302" s="237" t="str">
        <f>Table1[[#This Row],[h_hargasetelahdiskon]]</f>
        <v/>
      </c>
      <c r="V302" s="234"/>
      <c r="W302" s="234" t="str">
        <f ca="1">IF(Table1[[#This Row],[Column12]]="","",IF(Table1[[#This Row],[//]]="",INDIRECT(ADDRESS(ROW()-1,COLUMN())),Table1[[#This Row],[//]]))</f>
        <v/>
      </c>
      <c r="X302" s="234" t="str">
        <f ca="1">IF(Table1[[#This Row],[h_id]]="","",COUNTIF(Table1[h_id],Table1[[#This Row],[h_id]]))</f>
        <v/>
      </c>
      <c r="Y302" s="237" t="str">
        <f>IF(Table1[[#This Row],[Column12]]="","",Table1[[#This Row],[Qty]]*Table1[[#This Row],[Column13]])</f>
        <v/>
      </c>
      <c r="Z302" s="237" t="str">
        <f>IF(Table1[[#This Row],[h_hargasebelumdiskon]]="","",IF(Table1[[#This Row],[Column14]]="",0,Table1[[#This Row],[h_hargasebelumdiskon]]*Table1[[#This Row],[Column14]]))</f>
        <v/>
      </c>
      <c r="AA302" s="237" t="str">
        <f>IF(Table1[[#This Row],[h_hargasebelumdiskon]]="","",IF(Table1[[#This Row],[Column15]]="",0,(Table1[[#This Row],[h_hargasebelumdiskon]]-Table1[[#This Row],[h_disc 1]])*Table1[[#This Row],[Column15]]))</f>
        <v/>
      </c>
      <c r="AB302" s="237" t="str">
        <f>IF(Table1[[#This Row],[Column12]]="","",Table1[[#This Row],[h_disc 1]]+Table1[[#This Row],[h_disc 2]])</f>
        <v/>
      </c>
      <c r="AC302" s="237" t="str">
        <f>IF(Table1[[#This Row],[Column12]]="","",Table1[[#This Row],[h_hargasebelumdiskon]]-Table1[[#This Row],[h_diskon]])</f>
        <v/>
      </c>
      <c r="AD302" s="237" t="str">
        <f ca="1">IF(Table1[[#This Row],[//]]="","",SUMIF(Table1[h_id],Table1[[#This Row],[h_id]],Table1[h_hargasetelahdiskon]))</f>
        <v/>
      </c>
      <c r="AF302" s="237" t="str">
        <f>Table1[[#This Row],[Column12]]&amp;Table1[[#This Row],[Unit]]&amp;Table1[[#This Row],[Column13]]</f>
        <v/>
      </c>
      <c r="AG302"/>
      <c r="AH302"/>
      <c r="AI302"/>
    </row>
    <row r="303" spans="1:35">
      <c r="A303" s="234" t="str">
        <f ca="1">IF(Table1[[#This Row],[No. Invoice :]]="","",ROW())</f>
        <v/>
      </c>
      <c r="B303" s="234" t="str">
        <f ca="1">IF(Table1[[#This Row],[Column3]]="","",B$1+COUNT(INDIRECT("B$2:B"&amp;ROW()-1)))</f>
        <v/>
      </c>
      <c r="C303" s="235" t="str">
        <f>IF(Table1[[#This Row],[Column2]]="","",Table1[[#This Row],[Column2]]+C$1-1)</f>
        <v/>
      </c>
      <c r="E303" s="236"/>
      <c r="F303" s="234"/>
      <c r="G303" s="234" t="str">
        <f ca="1">IF(Table1[[#This Row],[h_No. Invoice :]]="","",CONCATENATE("AM"," ",Table1[[#This Row],[h_No. Invoice :]]))</f>
        <v/>
      </c>
      <c r="H303" s="234" t="str">
        <f>IF(Table1[[#This Row],[Column5]]="","",INDEX(Table2[Column1],MATCH(Table1[[#This Row],[Column5]],Table2[a],0)))</f>
        <v/>
      </c>
      <c r="I303" s="234" t="str">
        <f>IF(Table1[[#This Row],[Column3]]=0,"",CONCATENATE(UPPER(Table1[[#This Row],[Column3]])," ",Table1[[#This Row],[Column4]]))</f>
        <v xml:space="preserve"> </v>
      </c>
      <c r="J303" s="234" t="str">
        <f>IF(Table1[[#This Row],[Column5]]="","",INDEX(Table2[e],IF(Table1[[#This Row],[Column5]]="","",MATCH(Table1[[#This Row],[Column5]],Table2[a],0)),))</f>
        <v/>
      </c>
      <c r="K303" s="234"/>
      <c r="L303" s="234"/>
      <c r="O303" s="234" t="str">
        <f>IF(Table1[[#This Row],[h_Item Description]]="","",INDEX([1]!db[NB PAJAK],MATCH(Table1[[#This Row],[h_Item Description]],[1]!db[kode],0)))</f>
        <v/>
      </c>
      <c r="Q303" s="237"/>
      <c r="R303" s="238"/>
      <c r="S303" s="238"/>
      <c r="T303" s="237" t="str">
        <f>Table1[[#This Row],[h_hargasetelahdiskon]]</f>
        <v/>
      </c>
      <c r="V303" s="234"/>
      <c r="W303" s="234" t="str">
        <f ca="1">IF(Table1[[#This Row],[Column12]]="","",IF(Table1[[#This Row],[//]]="",INDIRECT(ADDRESS(ROW()-1,COLUMN())),Table1[[#This Row],[//]]))</f>
        <v/>
      </c>
      <c r="X303" s="234" t="str">
        <f ca="1">IF(Table1[[#This Row],[h_id]]="","",COUNTIF(Table1[h_id],Table1[[#This Row],[h_id]]))</f>
        <v/>
      </c>
      <c r="Y303" s="237" t="str">
        <f>IF(Table1[[#This Row],[Column12]]="","",Table1[[#This Row],[Qty]]*Table1[[#This Row],[Column13]])</f>
        <v/>
      </c>
      <c r="Z303" s="237" t="str">
        <f>IF(Table1[[#This Row],[h_hargasebelumdiskon]]="","",IF(Table1[[#This Row],[Column14]]="",0,Table1[[#This Row],[h_hargasebelumdiskon]]*Table1[[#This Row],[Column14]]))</f>
        <v/>
      </c>
      <c r="AA303" s="237" t="str">
        <f>IF(Table1[[#This Row],[h_hargasebelumdiskon]]="","",IF(Table1[[#This Row],[Column15]]="",0,(Table1[[#This Row],[h_hargasebelumdiskon]]-Table1[[#This Row],[h_disc 1]])*Table1[[#This Row],[Column15]]))</f>
        <v/>
      </c>
      <c r="AB303" s="237" t="str">
        <f>IF(Table1[[#This Row],[Column12]]="","",Table1[[#This Row],[h_disc 1]]+Table1[[#This Row],[h_disc 2]])</f>
        <v/>
      </c>
      <c r="AC303" s="237" t="str">
        <f>IF(Table1[[#This Row],[Column12]]="","",Table1[[#This Row],[h_hargasebelumdiskon]]-Table1[[#This Row],[h_diskon]])</f>
        <v/>
      </c>
      <c r="AD303" s="237" t="str">
        <f ca="1">IF(Table1[[#This Row],[//]]="","",SUMIF(Table1[h_id],Table1[[#This Row],[h_id]],Table1[h_hargasetelahdiskon]))</f>
        <v/>
      </c>
      <c r="AF303" s="237" t="str">
        <f>Table1[[#This Row],[Column12]]&amp;Table1[[#This Row],[Unit]]&amp;Table1[[#This Row],[Column13]]</f>
        <v/>
      </c>
      <c r="AG303"/>
      <c r="AH303"/>
      <c r="AI303"/>
    </row>
    <row r="304" spans="1:35">
      <c r="A304" s="234" t="str">
        <f ca="1">IF(Table1[[#This Row],[No. Invoice :]]="","",ROW())</f>
        <v/>
      </c>
      <c r="B304" s="234" t="str">
        <f ca="1">IF(Table1[[#This Row],[Column3]]="","",B$1+COUNT(INDIRECT("B$2:B"&amp;ROW()-1)))</f>
        <v/>
      </c>
      <c r="C304" s="235" t="str">
        <f>IF(Table1[[#This Row],[Column2]]="","",Table1[[#This Row],[Column2]]+C$1-1)</f>
        <v/>
      </c>
      <c r="E304" s="236"/>
      <c r="F304" s="234"/>
      <c r="G304" s="234" t="str">
        <f ca="1">IF(Table1[[#This Row],[h_No. Invoice :]]="","",CONCATENATE("AM"," ",Table1[[#This Row],[h_No. Invoice :]]))</f>
        <v/>
      </c>
      <c r="H304" s="234" t="str">
        <f>IF(Table1[[#This Row],[Column5]]="","",INDEX(Table2[Column1],MATCH(Table1[[#This Row],[Column5]],Table2[a],0)))</f>
        <v/>
      </c>
      <c r="I304" s="234" t="str">
        <f>IF(Table1[[#This Row],[Column3]]=0,"",CONCATENATE(UPPER(Table1[[#This Row],[Column3]])," ",Table1[[#This Row],[Column4]]))</f>
        <v xml:space="preserve"> </v>
      </c>
      <c r="J304" s="234" t="str">
        <f>IF(Table1[[#This Row],[Column5]]="","",INDEX(Table2[e],IF(Table1[[#This Row],[Column5]]="","",MATCH(Table1[[#This Row],[Column5]],Table2[a],0)),))</f>
        <v/>
      </c>
      <c r="K304" s="234"/>
      <c r="L304" s="234"/>
      <c r="O304" s="234" t="str">
        <f>IF(Table1[[#This Row],[h_Item Description]]="","",INDEX([1]!db[NB PAJAK],MATCH(Table1[[#This Row],[h_Item Description]],[1]!db[kode],0)))</f>
        <v/>
      </c>
      <c r="Q304" s="237"/>
      <c r="R304" s="238"/>
      <c r="S304" s="238"/>
      <c r="T304" s="237" t="str">
        <f>Table1[[#This Row],[h_hargasetelahdiskon]]</f>
        <v/>
      </c>
      <c r="V304" s="234"/>
      <c r="W304" s="234" t="str">
        <f ca="1">IF(Table1[[#This Row],[Column12]]="","",IF(Table1[[#This Row],[//]]="",INDIRECT(ADDRESS(ROW()-1,COLUMN())),Table1[[#This Row],[//]]))</f>
        <v/>
      </c>
      <c r="X304" s="234" t="str">
        <f ca="1">IF(Table1[[#This Row],[h_id]]="","",COUNTIF(Table1[h_id],Table1[[#This Row],[h_id]]))</f>
        <v/>
      </c>
      <c r="Y304" s="237" t="str">
        <f>IF(Table1[[#This Row],[Column12]]="","",Table1[[#This Row],[Qty]]*Table1[[#This Row],[Column13]])</f>
        <v/>
      </c>
      <c r="Z304" s="237" t="str">
        <f>IF(Table1[[#This Row],[h_hargasebelumdiskon]]="","",IF(Table1[[#This Row],[Column14]]="",0,Table1[[#This Row],[h_hargasebelumdiskon]]*Table1[[#This Row],[Column14]]))</f>
        <v/>
      </c>
      <c r="AA304" s="237" t="str">
        <f>IF(Table1[[#This Row],[h_hargasebelumdiskon]]="","",IF(Table1[[#This Row],[Column15]]="",0,(Table1[[#This Row],[h_hargasebelumdiskon]]-Table1[[#This Row],[h_disc 1]])*Table1[[#This Row],[Column15]]))</f>
        <v/>
      </c>
      <c r="AB304" s="237" t="str">
        <f>IF(Table1[[#This Row],[Column12]]="","",Table1[[#This Row],[h_disc 1]]+Table1[[#This Row],[h_disc 2]])</f>
        <v/>
      </c>
      <c r="AC304" s="237" t="str">
        <f>IF(Table1[[#This Row],[Column12]]="","",Table1[[#This Row],[h_hargasebelumdiskon]]-Table1[[#This Row],[h_diskon]])</f>
        <v/>
      </c>
      <c r="AD304" s="237" t="str">
        <f ca="1">IF(Table1[[#This Row],[//]]="","",SUMIF(Table1[h_id],Table1[[#This Row],[h_id]],Table1[h_hargasetelahdiskon]))</f>
        <v/>
      </c>
      <c r="AF304" s="237" t="str">
        <f>Table1[[#This Row],[Column12]]&amp;Table1[[#This Row],[Unit]]&amp;Table1[[#This Row],[Column13]]</f>
        <v/>
      </c>
      <c r="AG304"/>
      <c r="AH304"/>
      <c r="AI304"/>
    </row>
    <row r="305" spans="1:35">
      <c r="A305" s="234" t="str">
        <f ca="1">IF(Table1[[#This Row],[No. Invoice :]]="","",ROW())</f>
        <v/>
      </c>
      <c r="B305" s="234" t="str">
        <f ca="1">IF(Table1[[#This Row],[Column3]]="","",B$1+COUNT(INDIRECT("B$2:B"&amp;ROW()-1)))</f>
        <v/>
      </c>
      <c r="C305" s="235" t="str">
        <f>IF(Table1[[#This Row],[Column2]]="","",Table1[[#This Row],[Column2]]+C$1-1)</f>
        <v/>
      </c>
      <c r="E305" s="236"/>
      <c r="F305" s="234"/>
      <c r="G305" s="234" t="str">
        <f ca="1">IF(Table1[[#This Row],[h_No. Invoice :]]="","",CONCATENATE("AM"," ",Table1[[#This Row],[h_No. Invoice :]]))</f>
        <v/>
      </c>
      <c r="H305" s="234" t="str">
        <f>IF(Table1[[#This Row],[Column5]]="","",INDEX(Table2[Column1],MATCH(Table1[[#This Row],[Column5]],Table2[a],0)))</f>
        <v/>
      </c>
      <c r="I305" s="234" t="str">
        <f>IF(Table1[[#This Row],[Column3]]=0,"",CONCATENATE(UPPER(Table1[[#This Row],[Column3]])," ",Table1[[#This Row],[Column4]]))</f>
        <v xml:space="preserve"> </v>
      </c>
      <c r="J305" s="234" t="str">
        <f>IF(Table1[[#This Row],[Column5]]="","",INDEX(Table2[e],IF(Table1[[#This Row],[Column5]]="","",MATCH(Table1[[#This Row],[Column5]],Table2[a],0)),))</f>
        <v/>
      </c>
      <c r="K305" s="234"/>
      <c r="L305" s="234"/>
      <c r="O305" s="234" t="str">
        <f>IF(Table1[[#This Row],[h_Item Description]]="","",INDEX([1]!db[NB PAJAK],MATCH(Table1[[#This Row],[h_Item Description]],[1]!db[kode],0)))</f>
        <v/>
      </c>
      <c r="Q305" s="237"/>
      <c r="R305" s="238"/>
      <c r="S305" s="238"/>
      <c r="T305" s="237" t="str">
        <f>Table1[[#This Row],[h_hargasetelahdiskon]]</f>
        <v/>
      </c>
      <c r="V305" s="234"/>
      <c r="W305" s="234" t="str">
        <f ca="1">IF(Table1[[#This Row],[Column12]]="","",IF(Table1[[#This Row],[//]]="",INDIRECT(ADDRESS(ROW()-1,COLUMN())),Table1[[#This Row],[//]]))</f>
        <v/>
      </c>
      <c r="X305" s="234" t="str">
        <f ca="1">IF(Table1[[#This Row],[h_id]]="","",COUNTIF(Table1[h_id],Table1[[#This Row],[h_id]]))</f>
        <v/>
      </c>
      <c r="Y305" s="237" t="str">
        <f>IF(Table1[[#This Row],[Column12]]="","",Table1[[#This Row],[Qty]]*Table1[[#This Row],[Column13]])</f>
        <v/>
      </c>
      <c r="Z305" s="237" t="str">
        <f>IF(Table1[[#This Row],[h_hargasebelumdiskon]]="","",IF(Table1[[#This Row],[Column14]]="",0,Table1[[#This Row],[h_hargasebelumdiskon]]*Table1[[#This Row],[Column14]]))</f>
        <v/>
      </c>
      <c r="AA305" s="237" t="str">
        <f>IF(Table1[[#This Row],[h_hargasebelumdiskon]]="","",IF(Table1[[#This Row],[Column15]]="",0,(Table1[[#This Row],[h_hargasebelumdiskon]]-Table1[[#This Row],[h_disc 1]])*Table1[[#This Row],[Column15]]))</f>
        <v/>
      </c>
      <c r="AB305" s="237" t="str">
        <f>IF(Table1[[#This Row],[Column12]]="","",Table1[[#This Row],[h_disc 1]]+Table1[[#This Row],[h_disc 2]])</f>
        <v/>
      </c>
      <c r="AC305" s="237" t="str">
        <f>IF(Table1[[#This Row],[Column12]]="","",Table1[[#This Row],[h_hargasebelumdiskon]]-Table1[[#This Row],[h_diskon]])</f>
        <v/>
      </c>
      <c r="AD305" s="237" t="str">
        <f ca="1">IF(Table1[[#This Row],[//]]="","",SUMIF(Table1[h_id],Table1[[#This Row],[h_id]],Table1[h_hargasetelahdiskon]))</f>
        <v/>
      </c>
      <c r="AF305" s="237" t="str">
        <f>Table1[[#This Row],[Column12]]&amp;Table1[[#This Row],[Unit]]&amp;Table1[[#This Row],[Column13]]</f>
        <v/>
      </c>
      <c r="AG305"/>
      <c r="AH305"/>
      <c r="AI305"/>
    </row>
    <row r="306" spans="1:35">
      <c r="A306" s="234" t="str">
        <f ca="1">IF(Table1[[#This Row],[No. Invoice :]]="","",ROW())</f>
        <v/>
      </c>
      <c r="B306" s="234" t="str">
        <f ca="1">IF(Table1[[#This Row],[Column3]]="","",B$1+COUNT(INDIRECT("B$2:B"&amp;ROW()-1)))</f>
        <v/>
      </c>
      <c r="C306" s="235" t="str">
        <f>IF(Table1[[#This Row],[Column2]]="","",Table1[[#This Row],[Column2]]+C$1-1)</f>
        <v/>
      </c>
      <c r="E306" s="236"/>
      <c r="F306" s="234"/>
      <c r="G306" s="234" t="str">
        <f ca="1">IF(Table1[[#This Row],[h_No. Invoice :]]="","",CONCATENATE("AM"," ",Table1[[#This Row],[h_No. Invoice :]]))</f>
        <v/>
      </c>
      <c r="H306" s="234" t="str">
        <f>IF(Table1[[#This Row],[Column5]]="","",INDEX(Table2[Column1],MATCH(Table1[[#This Row],[Column5]],Table2[a],0)))</f>
        <v/>
      </c>
      <c r="I306" s="234" t="str">
        <f>IF(Table1[[#This Row],[Column3]]=0,"",CONCATENATE(UPPER(Table1[[#This Row],[Column3]])," ",Table1[[#This Row],[Column4]]))</f>
        <v xml:space="preserve"> </v>
      </c>
      <c r="J306" s="234" t="str">
        <f>IF(Table1[[#This Row],[Column5]]="","",INDEX(Table2[e],IF(Table1[[#This Row],[Column5]]="","",MATCH(Table1[[#This Row],[Column5]],Table2[a],0)),))</f>
        <v/>
      </c>
      <c r="K306" s="234"/>
      <c r="L306" s="234"/>
      <c r="O306" s="234" t="str">
        <f>IF(Table1[[#This Row],[h_Item Description]]="","",INDEX([1]!db[NB PAJAK],MATCH(Table1[[#This Row],[h_Item Description]],[1]!db[kode],0)))</f>
        <v/>
      </c>
      <c r="Q306" s="237"/>
      <c r="R306" s="238"/>
      <c r="S306" s="238"/>
      <c r="T306" s="237" t="str">
        <f>Table1[[#This Row],[h_hargasetelahdiskon]]</f>
        <v/>
      </c>
      <c r="V306" s="234"/>
      <c r="W306" s="234" t="str">
        <f ca="1">IF(Table1[[#This Row],[Column12]]="","",IF(Table1[[#This Row],[//]]="",INDIRECT(ADDRESS(ROW()-1,COLUMN())),Table1[[#This Row],[//]]))</f>
        <v/>
      </c>
      <c r="X306" s="234" t="str">
        <f ca="1">IF(Table1[[#This Row],[h_id]]="","",COUNTIF(Table1[h_id],Table1[[#This Row],[h_id]]))</f>
        <v/>
      </c>
      <c r="Y306" s="237" t="str">
        <f>IF(Table1[[#This Row],[Column12]]="","",Table1[[#This Row],[Qty]]*Table1[[#This Row],[Column13]])</f>
        <v/>
      </c>
      <c r="Z306" s="237" t="str">
        <f>IF(Table1[[#This Row],[h_hargasebelumdiskon]]="","",IF(Table1[[#This Row],[Column14]]="",0,Table1[[#This Row],[h_hargasebelumdiskon]]*Table1[[#This Row],[Column14]]))</f>
        <v/>
      </c>
      <c r="AA306" s="237" t="str">
        <f>IF(Table1[[#This Row],[h_hargasebelumdiskon]]="","",IF(Table1[[#This Row],[Column15]]="",0,(Table1[[#This Row],[h_hargasebelumdiskon]]-Table1[[#This Row],[h_disc 1]])*Table1[[#This Row],[Column15]]))</f>
        <v/>
      </c>
      <c r="AB306" s="237" t="str">
        <f>IF(Table1[[#This Row],[Column12]]="","",Table1[[#This Row],[h_disc 1]]+Table1[[#This Row],[h_disc 2]])</f>
        <v/>
      </c>
      <c r="AC306" s="237" t="str">
        <f>IF(Table1[[#This Row],[Column12]]="","",Table1[[#This Row],[h_hargasebelumdiskon]]-Table1[[#This Row],[h_diskon]])</f>
        <v/>
      </c>
      <c r="AD306" s="237" t="str">
        <f ca="1">IF(Table1[[#This Row],[//]]="","",SUMIF(Table1[h_id],Table1[[#This Row],[h_id]],Table1[h_hargasetelahdiskon]))</f>
        <v/>
      </c>
      <c r="AF306" s="237" t="str">
        <f>Table1[[#This Row],[Column12]]&amp;Table1[[#This Row],[Unit]]&amp;Table1[[#This Row],[Column13]]</f>
        <v/>
      </c>
      <c r="AG306"/>
      <c r="AH306"/>
      <c r="AI306"/>
    </row>
    <row r="307" spans="1:35">
      <c r="A307" s="234" t="str">
        <f ca="1">IF(Table1[[#This Row],[No. Invoice :]]="","",ROW())</f>
        <v/>
      </c>
      <c r="B307" s="234" t="str">
        <f ca="1">IF(Table1[[#This Row],[Column3]]="","",B$1+COUNT(INDIRECT("B$2:B"&amp;ROW()-1)))</f>
        <v/>
      </c>
      <c r="C307" s="235" t="str">
        <f>IF(Table1[[#This Row],[Column2]]="","",Table1[[#This Row],[Column2]]+C$1-1)</f>
        <v/>
      </c>
      <c r="E307" s="236"/>
      <c r="F307" s="234"/>
      <c r="G307" s="234" t="str">
        <f ca="1">IF(Table1[[#This Row],[h_No. Invoice :]]="","",CONCATENATE("AM"," ",Table1[[#This Row],[h_No. Invoice :]]))</f>
        <v/>
      </c>
      <c r="H307" s="234" t="str">
        <f>IF(Table1[[#This Row],[Column5]]="","",INDEX(Table2[Column1],MATCH(Table1[[#This Row],[Column5]],Table2[a],0)))</f>
        <v/>
      </c>
      <c r="I307" s="234" t="str">
        <f>IF(Table1[[#This Row],[Column3]]=0,"",CONCATENATE(UPPER(Table1[[#This Row],[Column3]])," ",Table1[[#This Row],[Column4]]))</f>
        <v xml:space="preserve"> </v>
      </c>
      <c r="J307" s="234" t="str">
        <f>IF(Table1[[#This Row],[Column5]]="","",INDEX(Table2[e],IF(Table1[[#This Row],[Column5]]="","",MATCH(Table1[[#This Row],[Column5]],Table2[a],0)),))</f>
        <v/>
      </c>
      <c r="K307" s="234"/>
      <c r="L307" s="234"/>
      <c r="O307" s="234" t="str">
        <f>IF(Table1[[#This Row],[h_Item Description]]="","",INDEX([1]!db[NB PAJAK],MATCH(Table1[[#This Row],[h_Item Description]],[1]!db[kode],0)))</f>
        <v/>
      </c>
      <c r="Q307" s="237"/>
      <c r="R307" s="238"/>
      <c r="S307" s="238"/>
      <c r="T307" s="237" t="str">
        <f>Table1[[#This Row],[h_hargasetelahdiskon]]</f>
        <v/>
      </c>
      <c r="V307" s="234"/>
      <c r="W307" s="234" t="str">
        <f ca="1">IF(Table1[[#This Row],[Column12]]="","",IF(Table1[[#This Row],[//]]="",INDIRECT(ADDRESS(ROW()-1,COLUMN())),Table1[[#This Row],[//]]))</f>
        <v/>
      </c>
      <c r="X307" s="234" t="str">
        <f ca="1">IF(Table1[[#This Row],[h_id]]="","",COUNTIF(Table1[h_id],Table1[[#This Row],[h_id]]))</f>
        <v/>
      </c>
      <c r="Y307" s="237" t="str">
        <f>IF(Table1[[#This Row],[Column12]]="","",Table1[[#This Row],[Qty]]*Table1[[#This Row],[Column13]])</f>
        <v/>
      </c>
      <c r="Z307" s="237" t="str">
        <f>IF(Table1[[#This Row],[h_hargasebelumdiskon]]="","",IF(Table1[[#This Row],[Column14]]="",0,Table1[[#This Row],[h_hargasebelumdiskon]]*Table1[[#This Row],[Column14]]))</f>
        <v/>
      </c>
      <c r="AA307" s="237" t="str">
        <f>IF(Table1[[#This Row],[h_hargasebelumdiskon]]="","",IF(Table1[[#This Row],[Column15]]="",0,(Table1[[#This Row],[h_hargasebelumdiskon]]-Table1[[#This Row],[h_disc 1]])*Table1[[#This Row],[Column15]]))</f>
        <v/>
      </c>
      <c r="AB307" s="237" t="str">
        <f>IF(Table1[[#This Row],[Column12]]="","",Table1[[#This Row],[h_disc 1]]+Table1[[#This Row],[h_disc 2]])</f>
        <v/>
      </c>
      <c r="AC307" s="237" t="str">
        <f>IF(Table1[[#This Row],[Column12]]="","",Table1[[#This Row],[h_hargasebelumdiskon]]-Table1[[#This Row],[h_diskon]])</f>
        <v/>
      </c>
      <c r="AD307" s="237" t="str">
        <f ca="1">IF(Table1[[#This Row],[//]]="","",SUMIF(Table1[h_id],Table1[[#This Row],[h_id]],Table1[h_hargasetelahdiskon]))</f>
        <v/>
      </c>
      <c r="AF307" s="237" t="str">
        <f>Table1[[#This Row],[Column12]]&amp;Table1[[#This Row],[Unit]]&amp;Table1[[#This Row],[Column13]]</f>
        <v/>
      </c>
      <c r="AG307"/>
      <c r="AH307"/>
      <c r="AI307"/>
    </row>
    <row r="308" spans="1:35">
      <c r="A308" s="234" t="str">
        <f ca="1">IF(Table1[[#This Row],[No. Invoice :]]="","",ROW())</f>
        <v/>
      </c>
      <c r="B308" s="234" t="str">
        <f ca="1">IF(Table1[[#This Row],[Column3]]="","",B$1+COUNT(INDIRECT("B$2:B"&amp;ROW()-1)))</f>
        <v/>
      </c>
      <c r="C308" s="235" t="str">
        <f>IF(Table1[[#This Row],[Column2]]="","",Table1[[#This Row],[Column2]]+C$1-1)</f>
        <v/>
      </c>
      <c r="E308" s="236"/>
      <c r="F308" s="234"/>
      <c r="G308" s="234" t="str">
        <f ca="1">IF(Table1[[#This Row],[h_No. Invoice :]]="","",CONCATENATE("AM"," ",Table1[[#This Row],[h_No. Invoice :]]))</f>
        <v/>
      </c>
      <c r="H308" s="234" t="str">
        <f>IF(Table1[[#This Row],[Column5]]="","",INDEX(Table2[Column1],MATCH(Table1[[#This Row],[Column5]],Table2[a],0)))</f>
        <v/>
      </c>
      <c r="I308" s="234" t="str">
        <f>IF(Table1[[#This Row],[Column3]]=0,"",CONCATENATE(UPPER(Table1[[#This Row],[Column3]])," ",Table1[[#This Row],[Column4]]))</f>
        <v xml:space="preserve"> </v>
      </c>
      <c r="J308" s="234" t="str">
        <f>IF(Table1[[#This Row],[Column5]]="","",INDEX(Table2[e],IF(Table1[[#This Row],[Column5]]="","",MATCH(Table1[[#This Row],[Column5]],Table2[a],0)),))</f>
        <v/>
      </c>
      <c r="K308" s="234"/>
      <c r="L308" s="234"/>
      <c r="O308" s="234" t="str">
        <f>IF(Table1[[#This Row],[h_Item Description]]="","",INDEX([1]!db[NB PAJAK],MATCH(Table1[[#This Row],[h_Item Description]],[1]!db[kode],0)))</f>
        <v/>
      </c>
      <c r="Q308" s="237"/>
      <c r="R308" s="238"/>
      <c r="S308" s="238"/>
      <c r="T308" s="237" t="str">
        <f>Table1[[#This Row],[h_hargasetelahdiskon]]</f>
        <v/>
      </c>
      <c r="V308" s="234"/>
      <c r="W308" s="234" t="str">
        <f ca="1">IF(Table1[[#This Row],[Column12]]="","",IF(Table1[[#This Row],[//]]="",INDIRECT(ADDRESS(ROW()-1,COLUMN())),Table1[[#This Row],[//]]))</f>
        <v/>
      </c>
      <c r="X308" s="234" t="str">
        <f ca="1">IF(Table1[[#This Row],[h_id]]="","",COUNTIF(Table1[h_id],Table1[[#This Row],[h_id]]))</f>
        <v/>
      </c>
      <c r="Y308" s="237" t="str">
        <f>IF(Table1[[#This Row],[Column12]]="","",Table1[[#This Row],[Qty]]*Table1[[#This Row],[Column13]])</f>
        <v/>
      </c>
      <c r="Z308" s="237" t="str">
        <f>IF(Table1[[#This Row],[h_hargasebelumdiskon]]="","",IF(Table1[[#This Row],[Column14]]="",0,Table1[[#This Row],[h_hargasebelumdiskon]]*Table1[[#This Row],[Column14]]))</f>
        <v/>
      </c>
      <c r="AA308" s="237" t="str">
        <f>IF(Table1[[#This Row],[h_hargasebelumdiskon]]="","",IF(Table1[[#This Row],[Column15]]="",0,(Table1[[#This Row],[h_hargasebelumdiskon]]-Table1[[#This Row],[h_disc 1]])*Table1[[#This Row],[Column15]]))</f>
        <v/>
      </c>
      <c r="AB308" s="237" t="str">
        <f>IF(Table1[[#This Row],[Column12]]="","",Table1[[#This Row],[h_disc 1]]+Table1[[#This Row],[h_disc 2]])</f>
        <v/>
      </c>
      <c r="AC308" s="237" t="str">
        <f>IF(Table1[[#This Row],[Column12]]="","",Table1[[#This Row],[h_hargasebelumdiskon]]-Table1[[#This Row],[h_diskon]])</f>
        <v/>
      </c>
      <c r="AD308" s="237" t="str">
        <f ca="1">IF(Table1[[#This Row],[//]]="","",SUMIF(Table1[h_id],Table1[[#This Row],[h_id]],Table1[h_hargasetelahdiskon]))</f>
        <v/>
      </c>
      <c r="AF308" s="237" t="str">
        <f>Table1[[#This Row],[Column12]]&amp;Table1[[#This Row],[Unit]]&amp;Table1[[#This Row],[Column13]]</f>
        <v/>
      </c>
      <c r="AG308"/>
      <c r="AH308"/>
      <c r="AI308"/>
    </row>
    <row r="309" spans="1:35">
      <c r="A309" s="234" t="str">
        <f ca="1">IF(Table1[[#This Row],[No. Invoice :]]="","",ROW())</f>
        <v/>
      </c>
      <c r="B309" s="234" t="str">
        <f ca="1">IF(Table1[[#This Row],[Column3]]="","",B$1+COUNT(INDIRECT("B$2:B"&amp;ROW()-1)))</f>
        <v/>
      </c>
      <c r="C309" s="235" t="str">
        <f>IF(Table1[[#This Row],[Column2]]="","",Table1[[#This Row],[Column2]]+C$1-1)</f>
        <v/>
      </c>
      <c r="E309" s="236"/>
      <c r="F309" s="234"/>
      <c r="G309" s="234" t="str">
        <f ca="1">IF(Table1[[#This Row],[h_No. Invoice :]]="","",CONCATENATE("AM"," ",Table1[[#This Row],[h_No. Invoice :]]))</f>
        <v/>
      </c>
      <c r="H309" s="234" t="str">
        <f>IF(Table1[[#This Row],[Column5]]="","",INDEX(Table2[Column1],MATCH(Table1[[#This Row],[Column5]],Table2[a],0)))</f>
        <v/>
      </c>
      <c r="I309" s="234" t="str">
        <f>IF(Table1[[#This Row],[Column3]]=0,"",CONCATENATE(UPPER(Table1[[#This Row],[Column3]])," ",Table1[[#This Row],[Column4]]))</f>
        <v xml:space="preserve"> </v>
      </c>
      <c r="J309" s="234" t="str">
        <f>IF(Table1[[#This Row],[Column5]]="","",INDEX(Table2[e],IF(Table1[[#This Row],[Column5]]="","",MATCH(Table1[[#This Row],[Column5]],Table2[a],0)),))</f>
        <v/>
      </c>
      <c r="K309" s="234"/>
      <c r="L309" s="234"/>
      <c r="O309" s="234" t="str">
        <f>IF(Table1[[#This Row],[h_Item Description]]="","",INDEX([1]!db[NB PAJAK],MATCH(Table1[[#This Row],[h_Item Description]],[1]!db[kode],0)))</f>
        <v/>
      </c>
      <c r="Q309" s="237"/>
      <c r="R309" s="238"/>
      <c r="S309" s="238"/>
      <c r="T309" s="237" t="str">
        <f>Table1[[#This Row],[h_hargasetelahdiskon]]</f>
        <v/>
      </c>
      <c r="V309" s="234"/>
      <c r="W309" s="234" t="str">
        <f ca="1">IF(Table1[[#This Row],[Column12]]="","",IF(Table1[[#This Row],[//]]="",INDIRECT(ADDRESS(ROW()-1,COLUMN())),Table1[[#This Row],[//]]))</f>
        <v/>
      </c>
      <c r="X309" s="234" t="str">
        <f ca="1">IF(Table1[[#This Row],[h_id]]="","",COUNTIF(Table1[h_id],Table1[[#This Row],[h_id]]))</f>
        <v/>
      </c>
      <c r="Y309" s="237" t="str">
        <f>IF(Table1[[#This Row],[Column12]]="","",Table1[[#This Row],[Qty]]*Table1[[#This Row],[Column13]])</f>
        <v/>
      </c>
      <c r="Z309" s="237" t="str">
        <f>IF(Table1[[#This Row],[h_hargasebelumdiskon]]="","",IF(Table1[[#This Row],[Column14]]="",0,Table1[[#This Row],[h_hargasebelumdiskon]]*Table1[[#This Row],[Column14]]))</f>
        <v/>
      </c>
      <c r="AA309" s="237" t="str">
        <f>IF(Table1[[#This Row],[h_hargasebelumdiskon]]="","",IF(Table1[[#This Row],[Column15]]="",0,(Table1[[#This Row],[h_hargasebelumdiskon]]-Table1[[#This Row],[h_disc 1]])*Table1[[#This Row],[Column15]]))</f>
        <v/>
      </c>
      <c r="AB309" s="237" t="str">
        <f>IF(Table1[[#This Row],[Column12]]="","",Table1[[#This Row],[h_disc 1]]+Table1[[#This Row],[h_disc 2]])</f>
        <v/>
      </c>
      <c r="AC309" s="237" t="str">
        <f>IF(Table1[[#This Row],[Column12]]="","",Table1[[#This Row],[h_hargasebelumdiskon]]-Table1[[#This Row],[h_diskon]])</f>
        <v/>
      </c>
      <c r="AD309" s="237" t="str">
        <f ca="1">IF(Table1[[#This Row],[//]]="","",SUMIF(Table1[h_id],Table1[[#This Row],[h_id]],Table1[h_hargasetelahdiskon]))</f>
        <v/>
      </c>
      <c r="AF309" s="237" t="str">
        <f>Table1[[#This Row],[Column12]]&amp;Table1[[#This Row],[Unit]]&amp;Table1[[#This Row],[Column13]]</f>
        <v/>
      </c>
      <c r="AG309"/>
      <c r="AH309"/>
      <c r="AI309"/>
    </row>
    <row r="310" spans="1:35">
      <c r="A310" s="234" t="str">
        <f ca="1">IF(Table1[[#This Row],[No. Invoice :]]="","",ROW())</f>
        <v/>
      </c>
      <c r="B310" s="234" t="str">
        <f ca="1">IF(Table1[[#This Row],[Column3]]="","",B$1+COUNT(INDIRECT("B$2:B"&amp;ROW()-1)))</f>
        <v/>
      </c>
      <c r="C310" s="235" t="str">
        <f>IF(Table1[[#This Row],[Column2]]="","",Table1[[#This Row],[Column2]]+C$1-1)</f>
        <v/>
      </c>
      <c r="E310" s="236"/>
      <c r="F310" s="234"/>
      <c r="G310" s="234" t="str">
        <f ca="1">IF(Table1[[#This Row],[h_No. Invoice :]]="","",CONCATENATE("AM"," ",Table1[[#This Row],[h_No. Invoice :]]))</f>
        <v/>
      </c>
      <c r="H310" s="234" t="str">
        <f>IF(Table1[[#This Row],[Column5]]="","",INDEX(Table2[Column1],MATCH(Table1[[#This Row],[Column5]],Table2[a],0)))</f>
        <v/>
      </c>
      <c r="I310" s="234" t="str">
        <f>IF(Table1[[#This Row],[Column3]]=0,"",CONCATENATE(UPPER(Table1[[#This Row],[Column3]])," ",Table1[[#This Row],[Column4]]))</f>
        <v xml:space="preserve"> </v>
      </c>
      <c r="J310" s="234" t="str">
        <f>IF(Table1[[#This Row],[Column5]]="","",INDEX(Table2[e],IF(Table1[[#This Row],[Column5]]="","",MATCH(Table1[[#This Row],[Column5]],Table2[a],0)),))</f>
        <v/>
      </c>
      <c r="K310" s="234"/>
      <c r="L310" s="234"/>
      <c r="O310" s="234" t="str">
        <f>IF(Table1[[#This Row],[h_Item Description]]="","",INDEX([1]!db[NB PAJAK],MATCH(Table1[[#This Row],[h_Item Description]],[1]!db[kode],0)))</f>
        <v/>
      </c>
      <c r="Q310" s="237"/>
      <c r="R310" s="238"/>
      <c r="S310" s="238"/>
      <c r="T310" s="237" t="str">
        <f>Table1[[#This Row],[h_hargasetelahdiskon]]</f>
        <v/>
      </c>
      <c r="V310" s="234"/>
      <c r="W310" s="234" t="str">
        <f ca="1">IF(Table1[[#This Row],[Column12]]="","",IF(Table1[[#This Row],[//]]="",INDIRECT(ADDRESS(ROW()-1,COLUMN())),Table1[[#This Row],[//]]))</f>
        <v/>
      </c>
      <c r="X310" s="234" t="str">
        <f ca="1">IF(Table1[[#This Row],[h_id]]="","",COUNTIF(Table1[h_id],Table1[[#This Row],[h_id]]))</f>
        <v/>
      </c>
      <c r="Y310" s="237" t="str">
        <f>IF(Table1[[#This Row],[Column12]]="","",Table1[[#This Row],[Qty]]*Table1[[#This Row],[Column13]])</f>
        <v/>
      </c>
      <c r="Z310" s="237" t="str">
        <f>IF(Table1[[#This Row],[h_hargasebelumdiskon]]="","",IF(Table1[[#This Row],[Column14]]="",0,Table1[[#This Row],[h_hargasebelumdiskon]]*Table1[[#This Row],[Column14]]))</f>
        <v/>
      </c>
      <c r="AA310" s="237" t="str">
        <f>IF(Table1[[#This Row],[h_hargasebelumdiskon]]="","",IF(Table1[[#This Row],[Column15]]="",0,(Table1[[#This Row],[h_hargasebelumdiskon]]-Table1[[#This Row],[h_disc 1]])*Table1[[#This Row],[Column15]]))</f>
        <v/>
      </c>
      <c r="AB310" s="237" t="str">
        <f>IF(Table1[[#This Row],[Column12]]="","",Table1[[#This Row],[h_disc 1]]+Table1[[#This Row],[h_disc 2]])</f>
        <v/>
      </c>
      <c r="AC310" s="237" t="str">
        <f>IF(Table1[[#This Row],[Column12]]="","",Table1[[#This Row],[h_hargasebelumdiskon]]-Table1[[#This Row],[h_diskon]])</f>
        <v/>
      </c>
      <c r="AD310" s="237" t="str">
        <f ca="1">IF(Table1[[#This Row],[//]]="","",SUMIF(Table1[h_id],Table1[[#This Row],[h_id]],Table1[h_hargasetelahdiskon]))</f>
        <v/>
      </c>
      <c r="AF310" s="237" t="str">
        <f>Table1[[#This Row],[Column12]]&amp;Table1[[#This Row],[Unit]]&amp;Table1[[#This Row],[Column13]]</f>
        <v/>
      </c>
      <c r="AG310"/>
      <c r="AH310"/>
      <c r="AI310"/>
    </row>
    <row r="311" spans="1:35">
      <c r="A311" s="234" t="str">
        <f ca="1">IF(Table1[[#This Row],[No. Invoice :]]="","",ROW())</f>
        <v/>
      </c>
      <c r="B311" s="234" t="str">
        <f ca="1">IF(Table1[[#This Row],[Column3]]="","",B$1+COUNT(INDIRECT("B$2:B"&amp;ROW()-1)))</f>
        <v/>
      </c>
      <c r="C311" s="235" t="str">
        <f>IF(Table1[[#This Row],[Column2]]="","",Table1[[#This Row],[Column2]]+C$1-1)</f>
        <v/>
      </c>
      <c r="E311" s="236"/>
      <c r="F311" s="234"/>
      <c r="G311" s="234" t="str">
        <f ca="1">IF(Table1[[#This Row],[h_No. Invoice :]]="","",CONCATENATE("AM"," ",Table1[[#This Row],[h_No. Invoice :]]))</f>
        <v/>
      </c>
      <c r="H311" s="234" t="str">
        <f>IF(Table1[[#This Row],[Column5]]="","",INDEX(Table2[Column1],MATCH(Table1[[#This Row],[Column5]],Table2[a],0)))</f>
        <v/>
      </c>
      <c r="I311" s="234" t="str">
        <f>IF(Table1[[#This Row],[Column3]]=0,"",CONCATENATE(UPPER(Table1[[#This Row],[Column3]])," ",Table1[[#This Row],[Column4]]))</f>
        <v xml:space="preserve"> </v>
      </c>
      <c r="J311" s="234" t="str">
        <f>IF(Table1[[#This Row],[Column5]]="","",INDEX(Table2[e],IF(Table1[[#This Row],[Column5]]="","",MATCH(Table1[[#This Row],[Column5]],Table2[a],0)),))</f>
        <v/>
      </c>
      <c r="K311" s="234"/>
      <c r="L311" s="234"/>
      <c r="O311" s="234" t="str">
        <f>IF(Table1[[#This Row],[h_Item Description]]="","",INDEX([1]!db[NB PAJAK],MATCH(Table1[[#This Row],[h_Item Description]],[1]!db[kode],0)))</f>
        <v/>
      </c>
      <c r="Q311" s="237"/>
      <c r="R311" s="238"/>
      <c r="S311" s="238"/>
      <c r="T311" s="237" t="str">
        <f>Table1[[#This Row],[h_hargasetelahdiskon]]</f>
        <v/>
      </c>
      <c r="V311" s="234"/>
      <c r="W311" s="234" t="str">
        <f ca="1">IF(Table1[[#This Row],[Column12]]="","",IF(Table1[[#This Row],[//]]="",INDIRECT(ADDRESS(ROW()-1,COLUMN())),Table1[[#This Row],[//]]))</f>
        <v/>
      </c>
      <c r="X311" s="234" t="str">
        <f ca="1">IF(Table1[[#This Row],[h_id]]="","",COUNTIF(Table1[h_id],Table1[[#This Row],[h_id]]))</f>
        <v/>
      </c>
      <c r="Y311" s="237" t="str">
        <f>IF(Table1[[#This Row],[Column12]]="","",Table1[[#This Row],[Qty]]*Table1[[#This Row],[Column13]])</f>
        <v/>
      </c>
      <c r="Z311" s="237" t="str">
        <f>IF(Table1[[#This Row],[h_hargasebelumdiskon]]="","",IF(Table1[[#This Row],[Column14]]="",0,Table1[[#This Row],[h_hargasebelumdiskon]]*Table1[[#This Row],[Column14]]))</f>
        <v/>
      </c>
      <c r="AA311" s="237" t="str">
        <f>IF(Table1[[#This Row],[h_hargasebelumdiskon]]="","",IF(Table1[[#This Row],[Column15]]="",0,(Table1[[#This Row],[h_hargasebelumdiskon]]-Table1[[#This Row],[h_disc 1]])*Table1[[#This Row],[Column15]]))</f>
        <v/>
      </c>
      <c r="AB311" s="237" t="str">
        <f>IF(Table1[[#This Row],[Column12]]="","",Table1[[#This Row],[h_disc 1]]+Table1[[#This Row],[h_disc 2]])</f>
        <v/>
      </c>
      <c r="AC311" s="237" t="str">
        <f>IF(Table1[[#This Row],[Column12]]="","",Table1[[#This Row],[h_hargasebelumdiskon]]-Table1[[#This Row],[h_diskon]])</f>
        <v/>
      </c>
      <c r="AD311" s="237" t="str">
        <f ca="1">IF(Table1[[#This Row],[//]]="","",SUMIF(Table1[h_id],Table1[[#This Row],[h_id]],Table1[h_hargasetelahdiskon]))</f>
        <v/>
      </c>
      <c r="AF311" s="237" t="str">
        <f>Table1[[#This Row],[Column12]]&amp;Table1[[#This Row],[Unit]]&amp;Table1[[#This Row],[Column13]]</f>
        <v/>
      </c>
      <c r="AG311"/>
      <c r="AH311"/>
      <c r="AI311"/>
    </row>
    <row r="312" spans="1:35">
      <c r="A312" s="234" t="str">
        <f ca="1">IF(Table1[[#This Row],[No. Invoice :]]="","",ROW())</f>
        <v/>
      </c>
      <c r="B312" s="234" t="str">
        <f ca="1">IF(Table1[[#This Row],[Column3]]="","",B$1+COUNT(INDIRECT("B$2:B"&amp;ROW()-1)))</f>
        <v/>
      </c>
      <c r="C312" s="235" t="str">
        <f>IF(Table1[[#This Row],[Column2]]="","",Table1[[#This Row],[Column2]]+C$1-1)</f>
        <v/>
      </c>
      <c r="E312" s="236"/>
      <c r="F312" s="234"/>
      <c r="G312" s="234" t="str">
        <f ca="1">IF(Table1[[#This Row],[h_No. Invoice :]]="","",CONCATENATE("AM"," ",Table1[[#This Row],[h_No. Invoice :]]))</f>
        <v/>
      </c>
      <c r="H312" s="234" t="str">
        <f>IF(Table1[[#This Row],[Column5]]="","",INDEX(Table2[Column1],MATCH(Table1[[#This Row],[Column5]],Table2[a],0)))</f>
        <v/>
      </c>
      <c r="I312" s="234" t="str">
        <f>IF(Table1[[#This Row],[Column3]]=0,"",CONCATENATE(UPPER(Table1[[#This Row],[Column3]])," ",Table1[[#This Row],[Column4]]))</f>
        <v xml:space="preserve"> </v>
      </c>
      <c r="J312" s="234" t="str">
        <f>IF(Table1[[#This Row],[Column5]]="","",INDEX(Table2[e],IF(Table1[[#This Row],[Column5]]="","",MATCH(Table1[[#This Row],[Column5]],Table2[a],0)),))</f>
        <v/>
      </c>
      <c r="K312" s="234"/>
      <c r="L312" s="234"/>
      <c r="O312" s="234" t="str">
        <f>IF(Table1[[#This Row],[h_Item Description]]="","",INDEX([1]!db[NB PAJAK],MATCH(Table1[[#This Row],[h_Item Description]],[1]!db[kode],0)))</f>
        <v/>
      </c>
      <c r="Q312" s="237"/>
      <c r="R312" s="238"/>
      <c r="S312" s="238"/>
      <c r="T312" s="237" t="str">
        <f>Table1[[#This Row],[h_hargasetelahdiskon]]</f>
        <v/>
      </c>
      <c r="V312" s="234"/>
      <c r="W312" s="234" t="str">
        <f ca="1">IF(Table1[[#This Row],[Column12]]="","",IF(Table1[[#This Row],[//]]="",INDIRECT(ADDRESS(ROW()-1,COLUMN())),Table1[[#This Row],[//]]))</f>
        <v/>
      </c>
      <c r="X312" s="234" t="str">
        <f ca="1">IF(Table1[[#This Row],[h_id]]="","",COUNTIF(Table1[h_id],Table1[[#This Row],[h_id]]))</f>
        <v/>
      </c>
      <c r="Y312" s="237" t="str">
        <f>IF(Table1[[#This Row],[Column12]]="","",Table1[[#This Row],[Qty]]*Table1[[#This Row],[Column13]])</f>
        <v/>
      </c>
      <c r="Z312" s="237" t="str">
        <f>IF(Table1[[#This Row],[h_hargasebelumdiskon]]="","",IF(Table1[[#This Row],[Column14]]="",0,Table1[[#This Row],[h_hargasebelumdiskon]]*Table1[[#This Row],[Column14]]))</f>
        <v/>
      </c>
      <c r="AA312" s="237" t="str">
        <f>IF(Table1[[#This Row],[h_hargasebelumdiskon]]="","",IF(Table1[[#This Row],[Column15]]="",0,(Table1[[#This Row],[h_hargasebelumdiskon]]-Table1[[#This Row],[h_disc 1]])*Table1[[#This Row],[Column15]]))</f>
        <v/>
      </c>
      <c r="AB312" s="237" t="str">
        <f>IF(Table1[[#This Row],[Column12]]="","",Table1[[#This Row],[h_disc 1]]+Table1[[#This Row],[h_disc 2]])</f>
        <v/>
      </c>
      <c r="AC312" s="237" t="str">
        <f>IF(Table1[[#This Row],[Column12]]="","",Table1[[#This Row],[h_hargasebelumdiskon]]-Table1[[#This Row],[h_diskon]])</f>
        <v/>
      </c>
      <c r="AD312" s="237" t="str">
        <f ca="1">IF(Table1[[#This Row],[//]]="","",SUMIF(Table1[h_id],Table1[[#This Row],[h_id]],Table1[h_hargasetelahdiskon]))</f>
        <v/>
      </c>
      <c r="AF312" s="237" t="str">
        <f>Table1[[#This Row],[Column12]]&amp;Table1[[#This Row],[Unit]]&amp;Table1[[#This Row],[Column13]]</f>
        <v/>
      </c>
      <c r="AG312"/>
      <c r="AH312"/>
      <c r="AI312"/>
    </row>
    <row r="313" spans="1:35">
      <c r="A313" s="234" t="str">
        <f ca="1">IF(Table1[[#This Row],[No. Invoice :]]="","",ROW())</f>
        <v/>
      </c>
      <c r="B313" s="234" t="str">
        <f ca="1">IF(Table1[[#This Row],[Column3]]="","",B$1+COUNT(INDIRECT("B$2:B"&amp;ROW()-1)))</f>
        <v/>
      </c>
      <c r="C313" s="235" t="str">
        <f>IF(Table1[[#This Row],[Column2]]="","",Table1[[#This Row],[Column2]]+C$1-1)</f>
        <v/>
      </c>
      <c r="E313" s="236"/>
      <c r="F313" s="234"/>
      <c r="G313" s="234" t="str">
        <f ca="1">IF(Table1[[#This Row],[h_No. Invoice :]]="","",CONCATENATE("AM"," ",Table1[[#This Row],[h_No. Invoice :]]))</f>
        <v/>
      </c>
      <c r="H313" s="234" t="str">
        <f>IF(Table1[[#This Row],[Column5]]="","",INDEX(Table2[Column1],MATCH(Table1[[#This Row],[Column5]],Table2[a],0)))</f>
        <v/>
      </c>
      <c r="I313" s="234" t="str">
        <f>IF(Table1[[#This Row],[Column3]]=0,"",CONCATENATE(UPPER(Table1[[#This Row],[Column3]])," ",Table1[[#This Row],[Column4]]))</f>
        <v xml:space="preserve"> </v>
      </c>
      <c r="J313" s="234" t="str">
        <f>IF(Table1[[#This Row],[Column5]]="","",INDEX(Table2[e],IF(Table1[[#This Row],[Column5]]="","",MATCH(Table1[[#This Row],[Column5]],Table2[a],0)),))</f>
        <v/>
      </c>
      <c r="K313" s="234"/>
      <c r="L313" s="234"/>
      <c r="O313" s="234" t="str">
        <f>IF(Table1[[#This Row],[h_Item Description]]="","",INDEX([1]!db[NB PAJAK],MATCH(Table1[[#This Row],[h_Item Description]],[1]!db[kode],0)))</f>
        <v/>
      </c>
      <c r="Q313" s="237"/>
      <c r="R313" s="238"/>
      <c r="S313" s="238"/>
      <c r="T313" s="237" t="str">
        <f>Table1[[#This Row],[h_hargasetelahdiskon]]</f>
        <v/>
      </c>
      <c r="V313" s="234"/>
      <c r="W313" s="234" t="str">
        <f ca="1">IF(Table1[[#This Row],[Column12]]="","",IF(Table1[[#This Row],[//]]="",INDIRECT(ADDRESS(ROW()-1,COLUMN())),Table1[[#This Row],[//]]))</f>
        <v/>
      </c>
      <c r="X313" s="234" t="str">
        <f ca="1">IF(Table1[[#This Row],[h_id]]="","",COUNTIF(Table1[h_id],Table1[[#This Row],[h_id]]))</f>
        <v/>
      </c>
      <c r="Y313" s="237" t="str">
        <f>IF(Table1[[#This Row],[Column12]]="","",Table1[[#This Row],[Qty]]*Table1[[#This Row],[Column13]])</f>
        <v/>
      </c>
      <c r="Z313" s="237" t="str">
        <f>IF(Table1[[#This Row],[h_hargasebelumdiskon]]="","",IF(Table1[[#This Row],[Column14]]="",0,Table1[[#This Row],[h_hargasebelumdiskon]]*Table1[[#This Row],[Column14]]))</f>
        <v/>
      </c>
      <c r="AA313" s="237" t="str">
        <f>IF(Table1[[#This Row],[h_hargasebelumdiskon]]="","",IF(Table1[[#This Row],[Column15]]="",0,(Table1[[#This Row],[h_hargasebelumdiskon]]-Table1[[#This Row],[h_disc 1]])*Table1[[#This Row],[Column15]]))</f>
        <v/>
      </c>
      <c r="AB313" s="237" t="str">
        <f>IF(Table1[[#This Row],[Column12]]="","",Table1[[#This Row],[h_disc 1]]+Table1[[#This Row],[h_disc 2]])</f>
        <v/>
      </c>
      <c r="AC313" s="237" t="str">
        <f>IF(Table1[[#This Row],[Column12]]="","",Table1[[#This Row],[h_hargasebelumdiskon]]-Table1[[#This Row],[h_diskon]])</f>
        <v/>
      </c>
      <c r="AD313" s="237" t="str">
        <f ca="1">IF(Table1[[#This Row],[//]]="","",SUMIF(Table1[h_id],Table1[[#This Row],[h_id]],Table1[h_hargasetelahdiskon]))</f>
        <v/>
      </c>
      <c r="AF313" s="237" t="str">
        <f>Table1[[#This Row],[Column12]]&amp;Table1[[#This Row],[Unit]]&amp;Table1[[#This Row],[Column13]]</f>
        <v/>
      </c>
      <c r="AG313"/>
      <c r="AH313"/>
      <c r="AI313"/>
    </row>
    <row r="314" spans="1:35">
      <c r="A314" s="234" t="str">
        <f ca="1">IF(Table1[[#This Row],[No. Invoice :]]="","",ROW())</f>
        <v/>
      </c>
      <c r="B314" s="234" t="str">
        <f ca="1">IF(Table1[[#This Row],[Column3]]="","",B$1+COUNT(INDIRECT("B$2:B"&amp;ROW()-1)))</f>
        <v/>
      </c>
      <c r="C314" s="235" t="str">
        <f>IF(Table1[[#This Row],[Column2]]="","",Table1[[#This Row],[Column2]]+C$1-1)</f>
        <v/>
      </c>
      <c r="E314" s="236"/>
      <c r="F314" s="234"/>
      <c r="G314" s="234" t="str">
        <f ca="1">IF(Table1[[#This Row],[h_No. Invoice :]]="","",CONCATENATE("AM"," ",Table1[[#This Row],[h_No. Invoice :]]))</f>
        <v/>
      </c>
      <c r="H314" s="234" t="str">
        <f>IF(Table1[[#This Row],[Column5]]="","",INDEX(Table2[Column1],MATCH(Table1[[#This Row],[Column5]],Table2[a],0)))</f>
        <v/>
      </c>
      <c r="I314" s="234" t="str">
        <f>IF(Table1[[#This Row],[Column3]]=0,"",CONCATENATE(UPPER(Table1[[#This Row],[Column3]])," ",Table1[[#This Row],[Column4]]))</f>
        <v xml:space="preserve"> </v>
      </c>
      <c r="J314" s="234" t="str">
        <f>IF(Table1[[#This Row],[Column5]]="","",INDEX(Table2[e],IF(Table1[[#This Row],[Column5]]="","",MATCH(Table1[[#This Row],[Column5]],Table2[a],0)),))</f>
        <v/>
      </c>
      <c r="K314" s="234"/>
      <c r="L314" s="234"/>
      <c r="O314" s="234" t="str">
        <f>IF(Table1[[#This Row],[h_Item Description]]="","",INDEX([1]!db[NB PAJAK],MATCH(Table1[[#This Row],[h_Item Description]],[1]!db[kode],0)))</f>
        <v/>
      </c>
      <c r="Q314" s="237"/>
      <c r="R314" s="238"/>
      <c r="S314" s="238"/>
      <c r="T314" s="237" t="str">
        <f>Table1[[#This Row],[h_hargasetelahdiskon]]</f>
        <v/>
      </c>
      <c r="V314" s="234"/>
      <c r="W314" s="234" t="str">
        <f ca="1">IF(Table1[[#This Row],[Column12]]="","",IF(Table1[[#This Row],[//]]="",INDIRECT(ADDRESS(ROW()-1,COLUMN())),Table1[[#This Row],[//]]))</f>
        <v/>
      </c>
      <c r="X314" s="234" t="str">
        <f ca="1">IF(Table1[[#This Row],[h_id]]="","",COUNTIF(Table1[h_id],Table1[[#This Row],[h_id]]))</f>
        <v/>
      </c>
      <c r="Y314" s="237" t="str">
        <f>IF(Table1[[#This Row],[Column12]]="","",Table1[[#This Row],[Qty]]*Table1[[#This Row],[Column13]])</f>
        <v/>
      </c>
      <c r="Z314" s="237" t="str">
        <f>IF(Table1[[#This Row],[h_hargasebelumdiskon]]="","",IF(Table1[[#This Row],[Column14]]="",0,Table1[[#This Row],[h_hargasebelumdiskon]]*Table1[[#This Row],[Column14]]))</f>
        <v/>
      </c>
      <c r="AA314" s="237" t="str">
        <f>IF(Table1[[#This Row],[h_hargasebelumdiskon]]="","",IF(Table1[[#This Row],[Column15]]="",0,(Table1[[#This Row],[h_hargasebelumdiskon]]-Table1[[#This Row],[h_disc 1]])*Table1[[#This Row],[Column15]]))</f>
        <v/>
      </c>
      <c r="AB314" s="237" t="str">
        <f>IF(Table1[[#This Row],[Column12]]="","",Table1[[#This Row],[h_disc 1]]+Table1[[#This Row],[h_disc 2]])</f>
        <v/>
      </c>
      <c r="AC314" s="237" t="str">
        <f>IF(Table1[[#This Row],[Column12]]="","",Table1[[#This Row],[h_hargasebelumdiskon]]-Table1[[#This Row],[h_diskon]])</f>
        <v/>
      </c>
      <c r="AD314" s="237" t="str">
        <f ca="1">IF(Table1[[#This Row],[//]]="","",SUMIF(Table1[h_id],Table1[[#This Row],[h_id]],Table1[h_hargasetelahdiskon]))</f>
        <v/>
      </c>
      <c r="AF314" s="237" t="str">
        <f>Table1[[#This Row],[Column12]]&amp;Table1[[#This Row],[Unit]]&amp;Table1[[#This Row],[Column13]]</f>
        <v/>
      </c>
      <c r="AG314"/>
      <c r="AH314"/>
      <c r="AI314"/>
    </row>
    <row r="315" spans="1:35">
      <c r="A315" s="234" t="str">
        <f ca="1">IF(Table1[[#This Row],[No. Invoice :]]="","",ROW())</f>
        <v/>
      </c>
      <c r="B315" s="234" t="str">
        <f ca="1">IF(Table1[[#This Row],[Column3]]="","",B$1+COUNT(INDIRECT("B$2:B"&amp;ROW()-1)))</f>
        <v/>
      </c>
      <c r="C315" s="235" t="str">
        <f>IF(Table1[[#This Row],[Column2]]="","",Table1[[#This Row],[Column2]]+C$1-1)</f>
        <v/>
      </c>
      <c r="E315" s="236"/>
      <c r="F315" s="234"/>
      <c r="G315" s="234" t="str">
        <f ca="1">IF(Table1[[#This Row],[h_No. Invoice :]]="","",CONCATENATE("AM"," ",Table1[[#This Row],[h_No. Invoice :]]))</f>
        <v/>
      </c>
      <c r="H315" s="234" t="str">
        <f>IF(Table1[[#This Row],[Column5]]="","",INDEX(Table2[Column1],MATCH(Table1[[#This Row],[Column5]],Table2[a],0)))</f>
        <v/>
      </c>
      <c r="I315" s="234" t="str">
        <f>IF(Table1[[#This Row],[Column3]]=0,"",CONCATENATE(UPPER(Table1[[#This Row],[Column3]])," ",Table1[[#This Row],[Column4]]))</f>
        <v xml:space="preserve"> </v>
      </c>
      <c r="J315" s="234" t="str">
        <f>IF(Table1[[#This Row],[Column5]]="","",INDEX(Table2[e],IF(Table1[[#This Row],[Column5]]="","",MATCH(Table1[[#This Row],[Column5]],Table2[a],0)),))</f>
        <v/>
      </c>
      <c r="K315" s="234"/>
      <c r="L315" s="234"/>
      <c r="O315" s="234" t="str">
        <f>IF(Table1[[#This Row],[h_Item Description]]="","",INDEX([1]!db[NB PAJAK],MATCH(Table1[[#This Row],[h_Item Description]],[1]!db[kode],0)))</f>
        <v/>
      </c>
      <c r="Q315" s="237"/>
      <c r="R315" s="238"/>
      <c r="S315" s="238"/>
      <c r="T315" s="237" t="str">
        <f>Table1[[#This Row],[h_hargasetelahdiskon]]</f>
        <v/>
      </c>
      <c r="V315" s="234"/>
      <c r="W315" s="234" t="str">
        <f ca="1">IF(Table1[[#This Row],[Column12]]="","",IF(Table1[[#This Row],[//]]="",INDIRECT(ADDRESS(ROW()-1,COLUMN())),Table1[[#This Row],[//]]))</f>
        <v/>
      </c>
      <c r="X315" s="234" t="str">
        <f ca="1">IF(Table1[[#This Row],[h_id]]="","",COUNTIF(Table1[h_id],Table1[[#This Row],[h_id]]))</f>
        <v/>
      </c>
      <c r="Y315" s="237" t="str">
        <f>IF(Table1[[#This Row],[Column12]]="","",Table1[[#This Row],[Qty]]*Table1[[#This Row],[Column13]])</f>
        <v/>
      </c>
      <c r="Z315" s="237" t="str">
        <f>IF(Table1[[#This Row],[h_hargasebelumdiskon]]="","",IF(Table1[[#This Row],[Column14]]="",0,Table1[[#This Row],[h_hargasebelumdiskon]]*Table1[[#This Row],[Column14]]))</f>
        <v/>
      </c>
      <c r="AA315" s="237" t="str">
        <f>IF(Table1[[#This Row],[h_hargasebelumdiskon]]="","",IF(Table1[[#This Row],[Column15]]="",0,(Table1[[#This Row],[h_hargasebelumdiskon]]-Table1[[#This Row],[h_disc 1]])*Table1[[#This Row],[Column15]]))</f>
        <v/>
      </c>
      <c r="AB315" s="237" t="str">
        <f>IF(Table1[[#This Row],[Column12]]="","",Table1[[#This Row],[h_disc 1]]+Table1[[#This Row],[h_disc 2]])</f>
        <v/>
      </c>
      <c r="AC315" s="237" t="str">
        <f>IF(Table1[[#This Row],[Column12]]="","",Table1[[#This Row],[h_hargasebelumdiskon]]-Table1[[#This Row],[h_diskon]])</f>
        <v/>
      </c>
      <c r="AD315" s="237" t="str">
        <f ca="1">IF(Table1[[#This Row],[//]]="","",SUMIF(Table1[h_id],Table1[[#This Row],[h_id]],Table1[h_hargasetelahdiskon]))</f>
        <v/>
      </c>
      <c r="AF315" s="237" t="str">
        <f>Table1[[#This Row],[Column12]]&amp;Table1[[#This Row],[Unit]]&amp;Table1[[#This Row],[Column13]]</f>
        <v/>
      </c>
      <c r="AG315"/>
      <c r="AH315"/>
      <c r="AI315"/>
    </row>
    <row r="316" spans="1:35">
      <c r="A316" s="234" t="str">
        <f ca="1">IF(Table1[[#This Row],[No. Invoice :]]="","",ROW())</f>
        <v/>
      </c>
      <c r="B316" s="234" t="str">
        <f ca="1">IF(Table1[[#This Row],[Column3]]="","",B$1+COUNT(INDIRECT("B$2:B"&amp;ROW()-1)))</f>
        <v/>
      </c>
      <c r="C316" s="235" t="str">
        <f>IF(Table1[[#This Row],[Column2]]="","",Table1[[#This Row],[Column2]]+C$1-1)</f>
        <v/>
      </c>
      <c r="E316" s="236"/>
      <c r="F316" s="234"/>
      <c r="G316" s="234" t="str">
        <f ca="1">IF(Table1[[#This Row],[h_No. Invoice :]]="","",CONCATENATE("AM"," ",Table1[[#This Row],[h_No. Invoice :]]))</f>
        <v/>
      </c>
      <c r="H316" s="234" t="str">
        <f>IF(Table1[[#This Row],[Column5]]="","",INDEX(Table2[Column1],MATCH(Table1[[#This Row],[Column5]],Table2[a],0)))</f>
        <v/>
      </c>
      <c r="I316" s="234" t="str">
        <f>IF(Table1[[#This Row],[Column3]]=0,"",CONCATENATE(UPPER(Table1[[#This Row],[Column3]])," ",Table1[[#This Row],[Column4]]))</f>
        <v xml:space="preserve"> </v>
      </c>
      <c r="J316" s="234" t="str">
        <f>IF(Table1[[#This Row],[Column5]]="","",INDEX(Table2[e],IF(Table1[[#This Row],[Column5]]="","",MATCH(Table1[[#This Row],[Column5]],Table2[a],0)),))</f>
        <v/>
      </c>
      <c r="K316" s="234"/>
      <c r="L316" s="234"/>
      <c r="O316" s="234" t="str">
        <f>IF(Table1[[#This Row],[h_Item Description]]="","",INDEX([1]!db[NB PAJAK],MATCH(Table1[[#This Row],[h_Item Description]],[1]!db[kode],0)))</f>
        <v/>
      </c>
      <c r="Q316" s="237"/>
      <c r="R316" s="238"/>
      <c r="S316" s="238"/>
      <c r="T316" s="237" t="str">
        <f>Table1[[#This Row],[h_hargasetelahdiskon]]</f>
        <v/>
      </c>
      <c r="V316" s="234"/>
      <c r="W316" s="234" t="str">
        <f ca="1">IF(Table1[[#This Row],[Column12]]="","",IF(Table1[[#This Row],[//]]="",INDIRECT(ADDRESS(ROW()-1,COLUMN())),Table1[[#This Row],[//]]))</f>
        <v/>
      </c>
      <c r="X316" s="234" t="str">
        <f ca="1">IF(Table1[[#This Row],[h_id]]="","",COUNTIF(Table1[h_id],Table1[[#This Row],[h_id]]))</f>
        <v/>
      </c>
      <c r="Y316" s="237" t="str">
        <f>IF(Table1[[#This Row],[Column12]]="","",Table1[[#This Row],[Qty]]*Table1[[#This Row],[Column13]])</f>
        <v/>
      </c>
      <c r="Z316" s="237" t="str">
        <f>IF(Table1[[#This Row],[h_hargasebelumdiskon]]="","",IF(Table1[[#This Row],[Column14]]="",0,Table1[[#This Row],[h_hargasebelumdiskon]]*Table1[[#This Row],[Column14]]))</f>
        <v/>
      </c>
      <c r="AA316" s="237" t="str">
        <f>IF(Table1[[#This Row],[h_hargasebelumdiskon]]="","",IF(Table1[[#This Row],[Column15]]="",0,(Table1[[#This Row],[h_hargasebelumdiskon]]-Table1[[#This Row],[h_disc 1]])*Table1[[#This Row],[Column15]]))</f>
        <v/>
      </c>
      <c r="AB316" s="237" t="str">
        <f>IF(Table1[[#This Row],[Column12]]="","",Table1[[#This Row],[h_disc 1]]+Table1[[#This Row],[h_disc 2]])</f>
        <v/>
      </c>
      <c r="AC316" s="237" t="str">
        <f>IF(Table1[[#This Row],[Column12]]="","",Table1[[#This Row],[h_hargasebelumdiskon]]-Table1[[#This Row],[h_diskon]])</f>
        <v/>
      </c>
      <c r="AD316" s="237" t="str">
        <f ca="1">IF(Table1[[#This Row],[//]]="","",SUMIF(Table1[h_id],Table1[[#This Row],[h_id]],Table1[h_hargasetelahdiskon]))</f>
        <v/>
      </c>
      <c r="AF316" s="237" t="str">
        <f>Table1[[#This Row],[Column12]]&amp;Table1[[#This Row],[Unit]]&amp;Table1[[#This Row],[Column13]]</f>
        <v/>
      </c>
      <c r="AG316"/>
      <c r="AH316"/>
      <c r="AI316"/>
    </row>
    <row r="317" spans="1:35">
      <c r="A317" s="234" t="str">
        <f ca="1">IF(Table1[[#This Row],[No. Invoice :]]="","",ROW())</f>
        <v/>
      </c>
      <c r="B317" s="234" t="str">
        <f ca="1">IF(Table1[[#This Row],[Column3]]="","",B$1+COUNT(INDIRECT("B$2:B"&amp;ROW()-1)))</f>
        <v/>
      </c>
      <c r="C317" s="235" t="str">
        <f>IF(Table1[[#This Row],[Column2]]="","",Table1[[#This Row],[Column2]]+C$1-1)</f>
        <v/>
      </c>
      <c r="E317" s="236"/>
      <c r="F317" s="234"/>
      <c r="G317" s="234" t="str">
        <f ca="1">IF(Table1[[#This Row],[h_No. Invoice :]]="","",CONCATENATE("AM"," ",Table1[[#This Row],[h_No. Invoice :]]))</f>
        <v/>
      </c>
      <c r="H317" s="234" t="str">
        <f>IF(Table1[[#This Row],[Column5]]="","",INDEX(Table2[Column1],MATCH(Table1[[#This Row],[Column5]],Table2[a],0)))</f>
        <v/>
      </c>
      <c r="I317" s="234" t="str">
        <f>IF(Table1[[#This Row],[Column3]]=0,"",CONCATENATE(UPPER(Table1[[#This Row],[Column3]])," ",Table1[[#This Row],[Column4]]))</f>
        <v xml:space="preserve"> </v>
      </c>
      <c r="J317" s="234" t="str">
        <f>IF(Table1[[#This Row],[Column5]]="","",INDEX(Table2[e],IF(Table1[[#This Row],[Column5]]="","",MATCH(Table1[[#This Row],[Column5]],Table2[a],0)),))</f>
        <v/>
      </c>
      <c r="K317" s="234"/>
      <c r="L317" s="234"/>
      <c r="O317" s="234" t="str">
        <f>IF(Table1[[#This Row],[h_Item Description]]="","",INDEX([1]!db[NB PAJAK],MATCH(Table1[[#This Row],[h_Item Description]],[1]!db[kode],0)))</f>
        <v/>
      </c>
      <c r="Q317" s="237"/>
      <c r="R317" s="238"/>
      <c r="S317" s="238"/>
      <c r="T317" s="237" t="str">
        <f>Table1[[#This Row],[h_hargasetelahdiskon]]</f>
        <v/>
      </c>
      <c r="V317" s="234"/>
      <c r="W317" s="234" t="str">
        <f ca="1">IF(Table1[[#This Row],[Column12]]="","",IF(Table1[[#This Row],[//]]="",INDIRECT(ADDRESS(ROW()-1,COLUMN())),Table1[[#This Row],[//]]))</f>
        <v/>
      </c>
      <c r="X317" s="234" t="str">
        <f ca="1">IF(Table1[[#This Row],[h_id]]="","",COUNTIF(Table1[h_id],Table1[[#This Row],[h_id]]))</f>
        <v/>
      </c>
      <c r="Y317" s="237" t="str">
        <f>IF(Table1[[#This Row],[Column12]]="","",Table1[[#This Row],[Qty]]*Table1[[#This Row],[Column13]])</f>
        <v/>
      </c>
      <c r="Z317" s="237" t="str">
        <f>IF(Table1[[#This Row],[h_hargasebelumdiskon]]="","",IF(Table1[[#This Row],[Column14]]="",0,Table1[[#This Row],[h_hargasebelumdiskon]]*Table1[[#This Row],[Column14]]))</f>
        <v/>
      </c>
      <c r="AA317" s="237" t="str">
        <f>IF(Table1[[#This Row],[h_hargasebelumdiskon]]="","",IF(Table1[[#This Row],[Column15]]="",0,(Table1[[#This Row],[h_hargasebelumdiskon]]-Table1[[#This Row],[h_disc 1]])*Table1[[#This Row],[Column15]]))</f>
        <v/>
      </c>
      <c r="AB317" s="237" t="str">
        <f>IF(Table1[[#This Row],[Column12]]="","",Table1[[#This Row],[h_disc 1]]+Table1[[#This Row],[h_disc 2]])</f>
        <v/>
      </c>
      <c r="AC317" s="237" t="str">
        <f>IF(Table1[[#This Row],[Column12]]="","",Table1[[#This Row],[h_hargasebelumdiskon]]-Table1[[#This Row],[h_diskon]])</f>
        <v/>
      </c>
      <c r="AD317" s="237" t="str">
        <f ca="1">IF(Table1[[#This Row],[//]]="","",SUMIF(Table1[h_id],Table1[[#This Row],[h_id]],Table1[h_hargasetelahdiskon]))</f>
        <v/>
      </c>
      <c r="AF317" s="237" t="str">
        <f>Table1[[#This Row],[Column12]]&amp;Table1[[#This Row],[Unit]]&amp;Table1[[#This Row],[Column13]]</f>
        <v/>
      </c>
      <c r="AG317"/>
      <c r="AH317"/>
      <c r="AI317"/>
    </row>
    <row r="318" spans="1:35">
      <c r="A318" s="234" t="str">
        <f ca="1">IF(Table1[[#This Row],[No. Invoice :]]="","",ROW())</f>
        <v/>
      </c>
      <c r="B318" s="234" t="str">
        <f ca="1">IF(Table1[[#This Row],[Column3]]="","",B$1+COUNT(INDIRECT("B$2:B"&amp;ROW()-1)))</f>
        <v/>
      </c>
      <c r="C318" s="235" t="str">
        <f>IF(Table1[[#This Row],[Column2]]="","",Table1[[#This Row],[Column2]]+C$1-1)</f>
        <v/>
      </c>
      <c r="E318" s="236"/>
      <c r="F318" s="234"/>
      <c r="G318" s="234" t="str">
        <f ca="1">IF(Table1[[#This Row],[h_No. Invoice :]]="","",CONCATENATE("AM"," ",Table1[[#This Row],[h_No. Invoice :]]))</f>
        <v/>
      </c>
      <c r="H318" s="234" t="str">
        <f>IF(Table1[[#This Row],[Column5]]="","",INDEX(Table2[Column1],MATCH(Table1[[#This Row],[Column5]],Table2[a],0)))</f>
        <v/>
      </c>
      <c r="I318" s="234" t="str">
        <f>IF(Table1[[#This Row],[Column3]]=0,"",CONCATENATE(UPPER(Table1[[#This Row],[Column3]])," ",Table1[[#This Row],[Column4]]))</f>
        <v xml:space="preserve"> </v>
      </c>
      <c r="J318" s="234" t="str">
        <f>IF(Table1[[#This Row],[Column5]]="","",INDEX(Table2[e],IF(Table1[[#This Row],[Column5]]="","",MATCH(Table1[[#This Row],[Column5]],Table2[a],0)),))</f>
        <v/>
      </c>
      <c r="K318" s="234"/>
      <c r="L318" s="234"/>
      <c r="O318" s="234" t="str">
        <f>IF(Table1[[#This Row],[h_Item Description]]="","",INDEX([1]!db[NB PAJAK],MATCH(Table1[[#This Row],[h_Item Description]],[1]!db[kode],0)))</f>
        <v/>
      </c>
      <c r="P318" s="424"/>
      <c r="Q318" s="237"/>
      <c r="R318" s="238"/>
      <c r="S318" s="238"/>
      <c r="T318" s="237" t="str">
        <f>Table1[[#This Row],[h_hargasetelahdiskon]]</f>
        <v/>
      </c>
      <c r="V318" s="234"/>
      <c r="W318" s="234" t="str">
        <f ca="1">IF(Table1[[#This Row],[Column12]]="","",IF(Table1[[#This Row],[//]]="",INDIRECT(ADDRESS(ROW()-1,COLUMN())),Table1[[#This Row],[//]]))</f>
        <v/>
      </c>
      <c r="X318" s="234" t="str">
        <f ca="1">IF(Table1[[#This Row],[h_id]]="","",COUNTIF(Table1[h_id],Table1[[#This Row],[h_id]]))</f>
        <v/>
      </c>
      <c r="Y318" s="237" t="str">
        <f>IF(Table1[[#This Row],[Column12]]="","",Table1[[#This Row],[Qty]]*Table1[[#This Row],[Column13]])</f>
        <v/>
      </c>
      <c r="Z318" s="237" t="str">
        <f>IF(Table1[[#This Row],[h_hargasebelumdiskon]]="","",IF(Table1[[#This Row],[Column14]]="",0,Table1[[#This Row],[h_hargasebelumdiskon]]*Table1[[#This Row],[Column14]]))</f>
        <v/>
      </c>
      <c r="AA318" s="237" t="str">
        <f>IF(Table1[[#This Row],[h_hargasebelumdiskon]]="","",IF(Table1[[#This Row],[Column15]]="",0,(Table1[[#This Row],[h_hargasebelumdiskon]]-Table1[[#This Row],[h_disc 1]])*Table1[[#This Row],[Column15]]))</f>
        <v/>
      </c>
      <c r="AB318" s="237" t="str">
        <f>IF(Table1[[#This Row],[Column12]]="","",Table1[[#This Row],[h_disc 1]]+Table1[[#This Row],[h_disc 2]])</f>
        <v/>
      </c>
      <c r="AC318" s="237" t="str">
        <f>IF(Table1[[#This Row],[Column12]]="","",Table1[[#This Row],[h_hargasebelumdiskon]]-Table1[[#This Row],[h_diskon]])</f>
        <v/>
      </c>
      <c r="AD318" s="237" t="str">
        <f ca="1">IF(Table1[[#This Row],[//]]="","",SUMIF(Table1[h_id],Table1[[#This Row],[h_id]],Table1[h_hargasetelahdiskon]))</f>
        <v/>
      </c>
      <c r="AF318" s="237" t="str">
        <f>Table1[[#This Row],[Column12]]&amp;Table1[[#This Row],[Unit]]&amp;Table1[[#This Row],[Column13]]</f>
        <v/>
      </c>
      <c r="AG318"/>
      <c r="AH318"/>
      <c r="AI318"/>
    </row>
    <row r="319" spans="1:35">
      <c r="A319" s="234" t="str">
        <f ca="1">IF(Table1[[#This Row],[No. Invoice :]]="","",ROW())</f>
        <v/>
      </c>
      <c r="B319" s="234" t="str">
        <f ca="1">IF(Table1[[#This Row],[Column3]]="","",B$1+COUNT(INDIRECT("B$2:B"&amp;ROW()-1)))</f>
        <v/>
      </c>
      <c r="C319" s="235" t="str">
        <f>IF(Table1[[#This Row],[Column2]]="","",Table1[[#This Row],[Column2]]+C$1-1)</f>
        <v/>
      </c>
      <c r="E319" s="236"/>
      <c r="F319" s="234"/>
      <c r="G319" s="234" t="str">
        <f ca="1">IF(Table1[[#This Row],[h_No. Invoice :]]="","",CONCATENATE("AM"," ",Table1[[#This Row],[h_No. Invoice :]]))</f>
        <v/>
      </c>
      <c r="H319" s="234" t="str">
        <f>IF(Table1[[#This Row],[Column5]]="","",INDEX(Table2[Column1],MATCH(Table1[[#This Row],[Column5]],Table2[a],0)))</f>
        <v/>
      </c>
      <c r="I319" s="234" t="str">
        <f>IF(Table1[[#This Row],[Column3]]=0,"",CONCATENATE(UPPER(Table1[[#This Row],[Column3]])," ",Table1[[#This Row],[Column4]]))</f>
        <v xml:space="preserve"> </v>
      </c>
      <c r="J319" s="234" t="str">
        <f>IF(Table1[[#This Row],[Column5]]="","",INDEX(Table2[e],IF(Table1[[#This Row],[Column5]]="","",MATCH(Table1[[#This Row],[Column5]],Table2[a],0)),))</f>
        <v/>
      </c>
      <c r="K319" s="234"/>
      <c r="L319" s="234"/>
      <c r="O319" s="234" t="str">
        <f>IF(Table1[[#This Row],[h_Item Description]]="","",INDEX([1]!db[NB PAJAK],MATCH(Table1[[#This Row],[h_Item Description]],[1]!db[kode],0)))</f>
        <v/>
      </c>
      <c r="Q319" s="237"/>
      <c r="R319" s="238"/>
      <c r="S319" s="238"/>
      <c r="T319" s="237" t="str">
        <f>Table1[[#This Row],[h_hargasetelahdiskon]]</f>
        <v/>
      </c>
      <c r="V319" s="234"/>
      <c r="W319" s="234" t="str">
        <f ca="1">IF(Table1[[#This Row],[Column12]]="","",IF(Table1[[#This Row],[//]]="",INDIRECT(ADDRESS(ROW()-1,COLUMN())),Table1[[#This Row],[//]]))</f>
        <v/>
      </c>
      <c r="X319" s="234" t="str">
        <f ca="1">IF(Table1[[#This Row],[h_id]]="","",COUNTIF(Table1[h_id],Table1[[#This Row],[h_id]]))</f>
        <v/>
      </c>
      <c r="Y319" s="237" t="str">
        <f>IF(Table1[[#This Row],[Column12]]="","",Table1[[#This Row],[Qty]]*Table1[[#This Row],[Column13]])</f>
        <v/>
      </c>
      <c r="Z319" s="237" t="str">
        <f>IF(Table1[[#This Row],[h_hargasebelumdiskon]]="","",IF(Table1[[#This Row],[Column14]]="",0,Table1[[#This Row],[h_hargasebelumdiskon]]*Table1[[#This Row],[Column14]]))</f>
        <v/>
      </c>
      <c r="AA319" s="237" t="str">
        <f>IF(Table1[[#This Row],[h_hargasebelumdiskon]]="","",IF(Table1[[#This Row],[Column15]]="",0,(Table1[[#This Row],[h_hargasebelumdiskon]]-Table1[[#This Row],[h_disc 1]])*Table1[[#This Row],[Column15]]))</f>
        <v/>
      </c>
      <c r="AB319" s="237" t="str">
        <f>IF(Table1[[#This Row],[Column12]]="","",Table1[[#This Row],[h_disc 1]]+Table1[[#This Row],[h_disc 2]])</f>
        <v/>
      </c>
      <c r="AC319" s="237" t="str">
        <f>IF(Table1[[#This Row],[Column12]]="","",Table1[[#This Row],[h_hargasebelumdiskon]]-Table1[[#This Row],[h_diskon]])</f>
        <v/>
      </c>
      <c r="AD319" s="237" t="str">
        <f ca="1">IF(Table1[[#This Row],[//]]="","",SUMIF(Table1[h_id],Table1[[#This Row],[h_id]],Table1[h_hargasetelahdiskon]))</f>
        <v/>
      </c>
      <c r="AF319" s="237" t="str">
        <f>Table1[[#This Row],[Column12]]&amp;Table1[[#This Row],[Unit]]&amp;Table1[[#This Row],[Column13]]</f>
        <v/>
      </c>
      <c r="AG319"/>
      <c r="AH319"/>
      <c r="AI319"/>
    </row>
    <row r="320" spans="1:35">
      <c r="A320" s="234" t="str">
        <f ca="1">IF(Table1[[#This Row],[No. Invoice :]]="","",ROW())</f>
        <v/>
      </c>
      <c r="B320" s="234" t="str">
        <f ca="1">IF(Table1[[#This Row],[Column3]]="","",B$1+COUNT(INDIRECT("B$2:B"&amp;ROW()-1)))</f>
        <v/>
      </c>
      <c r="C320" s="235" t="str">
        <f>IF(Table1[[#This Row],[Column2]]="","",Table1[[#This Row],[Column2]]+C$1-1)</f>
        <v/>
      </c>
      <c r="E320" s="236"/>
      <c r="F320" s="234"/>
      <c r="G320" s="234" t="str">
        <f ca="1">IF(Table1[[#This Row],[h_No. Invoice :]]="","",CONCATENATE("AM"," ",Table1[[#This Row],[h_No. Invoice :]]))</f>
        <v/>
      </c>
      <c r="H320" s="234" t="str">
        <f>IF(Table1[[#This Row],[Column5]]="","",INDEX(Table2[Column1],MATCH(Table1[[#This Row],[Column5]],Table2[a],0)))</f>
        <v/>
      </c>
      <c r="I320" s="234" t="str">
        <f>IF(Table1[[#This Row],[Column3]]=0,"",CONCATENATE(UPPER(Table1[[#This Row],[Column3]])," ",Table1[[#This Row],[Column4]]))</f>
        <v xml:space="preserve"> </v>
      </c>
      <c r="J320" s="234" t="str">
        <f>IF(Table1[[#This Row],[Column5]]="","",INDEX(Table2[e],IF(Table1[[#This Row],[Column5]]="","",MATCH(Table1[[#This Row],[Column5]],Table2[a],0)),))</f>
        <v/>
      </c>
      <c r="K320" s="234"/>
      <c r="L320" s="234"/>
      <c r="O320" s="234" t="str">
        <f>IF(Table1[[#This Row],[h_Item Description]]="","",INDEX([1]!db[NB PAJAK],MATCH(Table1[[#This Row],[h_Item Description]],[1]!db[kode],0)))</f>
        <v/>
      </c>
      <c r="Q320" s="237"/>
      <c r="R320" s="238"/>
      <c r="S320" s="238"/>
      <c r="T320" s="237" t="str">
        <f>Table1[[#This Row],[h_hargasetelahdiskon]]</f>
        <v/>
      </c>
      <c r="V320" s="234"/>
      <c r="W320" s="234" t="str">
        <f ca="1">IF(Table1[[#This Row],[Column12]]="","",IF(Table1[[#This Row],[//]]="",INDIRECT(ADDRESS(ROW()-1,COLUMN())),Table1[[#This Row],[//]]))</f>
        <v/>
      </c>
      <c r="X320" s="234" t="str">
        <f ca="1">IF(Table1[[#This Row],[h_id]]="","",COUNTIF(Table1[h_id],Table1[[#This Row],[h_id]]))</f>
        <v/>
      </c>
      <c r="Y320" s="237" t="str">
        <f>IF(Table1[[#This Row],[Column12]]="","",Table1[[#This Row],[Qty]]*Table1[[#This Row],[Column13]])</f>
        <v/>
      </c>
      <c r="Z320" s="237" t="str">
        <f>IF(Table1[[#This Row],[h_hargasebelumdiskon]]="","",IF(Table1[[#This Row],[Column14]]="",0,Table1[[#This Row],[h_hargasebelumdiskon]]*Table1[[#This Row],[Column14]]))</f>
        <v/>
      </c>
      <c r="AA320" s="237" t="str">
        <f>IF(Table1[[#This Row],[h_hargasebelumdiskon]]="","",IF(Table1[[#This Row],[Column15]]="",0,(Table1[[#This Row],[h_hargasebelumdiskon]]-Table1[[#This Row],[h_disc 1]])*Table1[[#This Row],[Column15]]))</f>
        <v/>
      </c>
      <c r="AB320" s="237" t="str">
        <f>IF(Table1[[#This Row],[Column12]]="","",Table1[[#This Row],[h_disc 1]]+Table1[[#This Row],[h_disc 2]])</f>
        <v/>
      </c>
      <c r="AC320" s="237" t="str">
        <f>IF(Table1[[#This Row],[Column12]]="","",Table1[[#This Row],[h_hargasebelumdiskon]]-Table1[[#This Row],[h_diskon]])</f>
        <v/>
      </c>
      <c r="AD320" s="237" t="str">
        <f ca="1">IF(Table1[[#This Row],[//]]="","",SUMIF(Table1[h_id],Table1[[#This Row],[h_id]],Table1[h_hargasetelahdiskon]))</f>
        <v/>
      </c>
      <c r="AF320" s="237" t="str">
        <f>Table1[[#This Row],[Column12]]&amp;Table1[[#This Row],[Unit]]&amp;Table1[[#This Row],[Column13]]</f>
        <v/>
      </c>
      <c r="AG320"/>
      <c r="AH320"/>
      <c r="AI320"/>
    </row>
    <row r="321" spans="1:35">
      <c r="A321" s="234" t="str">
        <f ca="1">IF(Table1[[#This Row],[No. Invoice :]]="","",ROW())</f>
        <v/>
      </c>
      <c r="B321" s="234" t="str">
        <f ca="1">IF(Table1[[#This Row],[Column3]]="","",B$1+COUNT(INDIRECT("B$2:B"&amp;ROW()-1)))</f>
        <v/>
      </c>
      <c r="C321" s="235" t="str">
        <f>IF(Table1[[#This Row],[Column2]]="","",Table1[[#This Row],[Column2]]+C$1-1)</f>
        <v/>
      </c>
      <c r="E321" s="236"/>
      <c r="F321" s="234"/>
      <c r="G321" s="234" t="str">
        <f ca="1">IF(Table1[[#This Row],[h_No. Invoice :]]="","",CONCATENATE("AM"," ",Table1[[#This Row],[h_No. Invoice :]]))</f>
        <v/>
      </c>
      <c r="H321" s="234" t="str">
        <f>IF(Table1[[#This Row],[Column5]]="","",INDEX(Table2[Column1],MATCH(Table1[[#This Row],[Column5]],Table2[a],0)))</f>
        <v/>
      </c>
      <c r="I321" s="234" t="str">
        <f>IF(Table1[[#This Row],[Column3]]=0,"",CONCATENATE(UPPER(Table1[[#This Row],[Column3]])," ",Table1[[#This Row],[Column4]]))</f>
        <v xml:space="preserve"> </v>
      </c>
      <c r="J321" s="234" t="str">
        <f>IF(Table1[[#This Row],[Column5]]="","",INDEX(Table2[e],IF(Table1[[#This Row],[Column5]]="","",MATCH(Table1[[#This Row],[Column5]],Table2[a],0)),))</f>
        <v/>
      </c>
      <c r="K321" s="234"/>
      <c r="L321" s="234"/>
      <c r="O321" s="234" t="str">
        <f>IF(Table1[[#This Row],[h_Item Description]]="","",INDEX([1]!db[NB PAJAK],MATCH(Table1[[#This Row],[h_Item Description]],[1]!db[kode],0)))</f>
        <v/>
      </c>
      <c r="Q321" s="237"/>
      <c r="R321" s="238"/>
      <c r="S321" s="238"/>
      <c r="T321" s="237" t="str">
        <f>Table1[[#This Row],[h_hargasetelahdiskon]]</f>
        <v/>
      </c>
      <c r="V321" s="234"/>
      <c r="W321" s="234" t="str">
        <f ca="1">IF(Table1[[#This Row],[Column12]]="","",IF(Table1[[#This Row],[//]]="",INDIRECT(ADDRESS(ROW()-1,COLUMN())),Table1[[#This Row],[//]]))</f>
        <v/>
      </c>
      <c r="X321" s="234" t="str">
        <f ca="1">IF(Table1[[#This Row],[h_id]]="","",COUNTIF(Table1[h_id],Table1[[#This Row],[h_id]]))</f>
        <v/>
      </c>
      <c r="Y321" s="237" t="str">
        <f>IF(Table1[[#This Row],[Column12]]="","",Table1[[#This Row],[Qty]]*Table1[[#This Row],[Column13]])</f>
        <v/>
      </c>
      <c r="Z321" s="237" t="str">
        <f>IF(Table1[[#This Row],[h_hargasebelumdiskon]]="","",IF(Table1[[#This Row],[Column14]]="",0,Table1[[#This Row],[h_hargasebelumdiskon]]*Table1[[#This Row],[Column14]]))</f>
        <v/>
      </c>
      <c r="AA321" s="237" t="str">
        <f>IF(Table1[[#This Row],[h_hargasebelumdiskon]]="","",IF(Table1[[#This Row],[Column15]]="",0,(Table1[[#This Row],[h_hargasebelumdiskon]]-Table1[[#This Row],[h_disc 1]])*Table1[[#This Row],[Column15]]))</f>
        <v/>
      </c>
      <c r="AB321" s="237" t="str">
        <f>IF(Table1[[#This Row],[Column12]]="","",Table1[[#This Row],[h_disc 1]]+Table1[[#This Row],[h_disc 2]])</f>
        <v/>
      </c>
      <c r="AC321" s="237" t="str">
        <f>IF(Table1[[#This Row],[Column12]]="","",Table1[[#This Row],[h_hargasebelumdiskon]]-Table1[[#This Row],[h_diskon]])</f>
        <v/>
      </c>
      <c r="AD321" s="237" t="str">
        <f ca="1">IF(Table1[[#This Row],[//]]="","",SUMIF(Table1[h_id],Table1[[#This Row],[h_id]],Table1[h_hargasetelahdiskon]))</f>
        <v/>
      </c>
      <c r="AF321" s="237" t="str">
        <f>Table1[[#This Row],[Column12]]&amp;Table1[[#This Row],[Unit]]&amp;Table1[[#This Row],[Column13]]</f>
        <v/>
      </c>
      <c r="AG321"/>
      <c r="AH321"/>
      <c r="AI321"/>
    </row>
    <row r="322" spans="1:35">
      <c r="A322" s="234" t="str">
        <f ca="1">IF(Table1[[#This Row],[No. Invoice :]]="","",ROW())</f>
        <v/>
      </c>
      <c r="B322" s="234" t="str">
        <f ca="1">IF(Table1[[#This Row],[Column3]]="","",B$1+COUNT(INDIRECT("B$2:B"&amp;ROW()-1)))</f>
        <v/>
      </c>
      <c r="C322" s="235" t="str">
        <f>IF(Table1[[#This Row],[Column2]]="","",Table1[[#This Row],[Column2]]+C$1-1)</f>
        <v/>
      </c>
      <c r="E322" s="236"/>
      <c r="F322" s="234"/>
      <c r="G322" s="234" t="str">
        <f ca="1">IF(Table1[[#This Row],[h_No. Invoice :]]="","",CONCATENATE("AM"," ",Table1[[#This Row],[h_No. Invoice :]]))</f>
        <v/>
      </c>
      <c r="H322" s="234" t="str">
        <f>IF(Table1[[#This Row],[Column5]]="","",INDEX(Table2[Column1],MATCH(Table1[[#This Row],[Column5]],Table2[a],0)))</f>
        <v/>
      </c>
      <c r="I322" s="234" t="str">
        <f>IF(Table1[[#This Row],[Column3]]=0,"",CONCATENATE(UPPER(Table1[[#This Row],[Column3]])," ",Table1[[#This Row],[Column4]]))</f>
        <v xml:space="preserve"> </v>
      </c>
      <c r="J322" s="234" t="str">
        <f>IF(Table1[[#This Row],[Column5]]="","",INDEX(Table2[e],IF(Table1[[#This Row],[Column5]]="","",MATCH(Table1[[#This Row],[Column5]],Table2[a],0)),))</f>
        <v/>
      </c>
      <c r="K322" s="234"/>
      <c r="L322" s="234"/>
      <c r="O322" s="234" t="str">
        <f>IF(Table1[[#This Row],[h_Item Description]]="","",INDEX([1]!db[NB PAJAK],MATCH(Table1[[#This Row],[h_Item Description]],[1]!db[kode],0)))</f>
        <v/>
      </c>
      <c r="P322" s="415"/>
      <c r="Q322" s="237"/>
      <c r="R322" s="238"/>
      <c r="S322" s="238"/>
      <c r="T322" s="237" t="str">
        <f>Table1[[#This Row],[h_hargasetelahdiskon]]</f>
        <v/>
      </c>
      <c r="V322" s="234"/>
      <c r="W322" s="234" t="str">
        <f ca="1">IF(Table1[[#This Row],[Column12]]="","",IF(Table1[[#This Row],[//]]="",INDIRECT(ADDRESS(ROW()-1,COLUMN())),Table1[[#This Row],[//]]))</f>
        <v/>
      </c>
      <c r="X322" s="234" t="str">
        <f ca="1">IF(Table1[[#This Row],[h_id]]="","",COUNTIF(Table1[h_id],Table1[[#This Row],[h_id]]))</f>
        <v/>
      </c>
      <c r="Y322" s="237" t="str">
        <f>IF(Table1[[#This Row],[Column12]]="","",Table1[[#This Row],[Qty]]*Table1[[#This Row],[Column13]])</f>
        <v/>
      </c>
      <c r="Z322" s="237" t="str">
        <f>IF(Table1[[#This Row],[h_hargasebelumdiskon]]="","",IF(Table1[[#This Row],[Column14]]="",0,Table1[[#This Row],[h_hargasebelumdiskon]]*Table1[[#This Row],[Column14]]))</f>
        <v/>
      </c>
      <c r="AA322" s="237" t="str">
        <f>IF(Table1[[#This Row],[h_hargasebelumdiskon]]="","",IF(Table1[[#This Row],[Column15]]="",0,(Table1[[#This Row],[h_hargasebelumdiskon]]-Table1[[#This Row],[h_disc 1]])*Table1[[#This Row],[Column15]]))</f>
        <v/>
      </c>
      <c r="AB322" s="237" t="str">
        <f>IF(Table1[[#This Row],[Column12]]="","",Table1[[#This Row],[h_disc 1]]+Table1[[#This Row],[h_disc 2]])</f>
        <v/>
      </c>
      <c r="AC322" s="237" t="str">
        <f>IF(Table1[[#This Row],[Column12]]="","",Table1[[#This Row],[h_hargasebelumdiskon]]-Table1[[#This Row],[h_diskon]])</f>
        <v/>
      </c>
      <c r="AD322" s="237" t="str">
        <f ca="1">IF(Table1[[#This Row],[//]]="","",SUMIF(Table1[h_id],Table1[[#This Row],[h_id]],Table1[h_hargasetelahdiskon]))</f>
        <v/>
      </c>
      <c r="AF322" s="237" t="str">
        <f>Table1[[#This Row],[Column12]]&amp;Table1[[#This Row],[Unit]]&amp;Table1[[#This Row],[Column13]]</f>
        <v/>
      </c>
      <c r="AG322"/>
      <c r="AH322"/>
      <c r="AI322"/>
    </row>
    <row r="323" spans="1:35" s="241" customFormat="1">
      <c r="A323" s="234" t="str">
        <f ca="1">IF(Table1[[#This Row],[No. Invoice :]]="","",ROW())</f>
        <v/>
      </c>
      <c r="B323" s="234" t="str">
        <f ca="1">IF(Table1[[#This Row],[Column3]]="","",B$1+COUNT(INDIRECT("B$2:B"&amp;ROW()-1)))</f>
        <v/>
      </c>
      <c r="C323" s="235" t="str">
        <f>IF(Table1[[#This Row],[Column2]]="","",Table1[[#This Row],[Column2]]+C$1-1)</f>
        <v/>
      </c>
      <c r="D323" s="242"/>
      <c r="E323" s="236"/>
      <c r="F323" s="234"/>
      <c r="G323" s="234" t="str">
        <f ca="1">IF(Table1[[#This Row],[h_No. Invoice :]]="","",CONCATENATE("AM"," ",Table1[[#This Row],[h_No. Invoice :]]))</f>
        <v/>
      </c>
      <c r="H323" s="234" t="str">
        <f>IF(Table1[[#This Row],[Column5]]="","",INDEX(Table2[Column1],MATCH(Table1[[#This Row],[Column5]],Table2[a],0)))</f>
        <v/>
      </c>
      <c r="I323" s="234" t="str">
        <f>IF(Table1[[#This Row],[Column3]]=0,"",CONCATENATE(UPPER(Table1[[#This Row],[Column3]])," ",Table1[[#This Row],[Column4]]))</f>
        <v xml:space="preserve"> </v>
      </c>
      <c r="J323" s="234" t="str">
        <f>IF(Table1[[#This Row],[Column5]]="","",INDEX(Table2[e],IF(Table1[[#This Row],[Column5]]="","",MATCH(Table1[[#This Row],[Column5]],Table2[a],0)),))</f>
        <v/>
      </c>
      <c r="K323" s="234"/>
      <c r="L323" s="234"/>
      <c r="M323" s="234"/>
      <c r="N323" s="234"/>
      <c r="O323" s="234" t="str">
        <f>IF(Table1[[#This Row],[h_Item Description]]="","",INDEX([1]!db[NB PAJAK],MATCH(Table1[[#This Row],[h_Item Description]],[1]!db[kode],0)))</f>
        <v/>
      </c>
      <c r="P323" s="234"/>
      <c r="Q323" s="237"/>
      <c r="R323" s="238"/>
      <c r="S323" s="238"/>
      <c r="T323" s="237" t="str">
        <f>Table1[[#This Row],[h_hargasetelahdiskon]]</f>
        <v/>
      </c>
      <c r="U323" s="237"/>
      <c r="V323" s="234"/>
      <c r="W323" s="234" t="str">
        <f ca="1">IF(Table1[[#This Row],[Column12]]="","",IF(Table1[[#This Row],[//]]="",INDIRECT(ADDRESS(ROW()-1,COLUMN())),Table1[[#This Row],[//]]))</f>
        <v/>
      </c>
      <c r="X323" s="234" t="str">
        <f ca="1">IF(Table1[[#This Row],[h_id]]="","",COUNTIF(Table1[h_id],Table1[[#This Row],[h_id]]))</f>
        <v/>
      </c>
      <c r="Y323" s="237" t="str">
        <f>IF(Table1[[#This Row],[Column12]]="","",Table1[[#This Row],[Qty]]*Table1[[#This Row],[Column13]])</f>
        <v/>
      </c>
      <c r="Z323" s="237" t="str">
        <f>IF(Table1[[#This Row],[h_hargasebelumdiskon]]="","",IF(Table1[[#This Row],[Column14]]="",0,Table1[[#This Row],[h_hargasebelumdiskon]]*Table1[[#This Row],[Column14]]))</f>
        <v/>
      </c>
      <c r="AA323" s="237" t="str">
        <f>IF(Table1[[#This Row],[h_hargasebelumdiskon]]="","",IF(Table1[[#This Row],[Column15]]="",0,(Table1[[#This Row],[h_hargasebelumdiskon]]-Table1[[#This Row],[h_disc 1]])*Table1[[#This Row],[Column15]]))</f>
        <v/>
      </c>
      <c r="AB323" s="237" t="str">
        <f>IF(Table1[[#This Row],[Column12]]="","",Table1[[#This Row],[h_disc 1]]+Table1[[#This Row],[h_disc 2]])</f>
        <v/>
      </c>
      <c r="AC323" s="237" t="str">
        <f>IF(Table1[[#This Row],[Column12]]="","",Table1[[#This Row],[h_hargasebelumdiskon]]-Table1[[#This Row],[h_diskon]])</f>
        <v/>
      </c>
      <c r="AD323" s="237" t="str">
        <f ca="1">IF(Table1[[#This Row],[//]]="","",SUMIF(Table1[h_id],Table1[[#This Row],[h_id]],Table1[h_hargasetelahdiskon]))</f>
        <v/>
      </c>
      <c r="AE323" s="237"/>
      <c r="AF323" s="237" t="str">
        <f>Table1[[#This Row],[Column12]]&amp;Table1[[#This Row],[Unit]]&amp;Table1[[#This Row],[Column13]]</f>
        <v/>
      </c>
    </row>
    <row r="324" spans="1:35" s="241" customFormat="1">
      <c r="A324" s="234" t="str">
        <f ca="1">IF(Table1[[#This Row],[No. Invoice :]]="","",ROW())</f>
        <v/>
      </c>
      <c r="B324" s="234" t="str">
        <f ca="1">IF(Table1[[#This Row],[Column3]]="","",B$1+COUNT(INDIRECT("B$2:B"&amp;ROW()-1)))</f>
        <v/>
      </c>
      <c r="C324" s="235" t="str">
        <f>IF(Table1[[#This Row],[Column2]]="","",Table1[[#This Row],[Column2]]+C$1-1)</f>
        <v/>
      </c>
      <c r="D324" s="242"/>
      <c r="E324" s="236"/>
      <c r="F324" s="234"/>
      <c r="G324" s="234" t="str">
        <f ca="1">IF(Table1[[#This Row],[h_No. Invoice :]]="","",CONCATENATE("AM"," ",Table1[[#This Row],[h_No. Invoice :]]))</f>
        <v/>
      </c>
      <c r="H324" s="234" t="str">
        <f>IF(Table1[[#This Row],[Column5]]="","",INDEX(Table2[Column1],MATCH(Table1[[#This Row],[Column5]],Table2[a],0)))</f>
        <v/>
      </c>
      <c r="I324" s="234" t="str">
        <f>IF(Table1[[#This Row],[Column3]]=0,"",CONCATENATE(UPPER(Table1[[#This Row],[Column3]])," ",Table1[[#This Row],[Column4]]))</f>
        <v xml:space="preserve"> </v>
      </c>
      <c r="J324" s="234" t="str">
        <f>IF(Table1[[#This Row],[Column5]]="","",INDEX(Table2[e],IF(Table1[[#This Row],[Column5]]="","",MATCH(Table1[[#This Row],[Column5]],Table2[a],0)),))</f>
        <v/>
      </c>
      <c r="K324" s="234"/>
      <c r="L324" s="234"/>
      <c r="M324" s="234"/>
      <c r="N324" s="234"/>
      <c r="O324" s="234" t="str">
        <f>IF(Table1[[#This Row],[h_Item Description]]="","",INDEX([1]!db[NB PAJAK],MATCH(Table1[[#This Row],[h_Item Description]],[1]!db[kode],0)))</f>
        <v/>
      </c>
      <c r="P324" s="234"/>
      <c r="Q324" s="237"/>
      <c r="R324" s="238"/>
      <c r="S324" s="238"/>
      <c r="T324" s="237" t="str">
        <f>Table1[[#This Row],[h_hargasetelahdiskon]]</f>
        <v/>
      </c>
      <c r="U324" s="237"/>
      <c r="V324" s="234"/>
      <c r="W324" s="234" t="str">
        <f ca="1">IF(Table1[[#This Row],[Column12]]="","",IF(Table1[[#This Row],[//]]="",INDIRECT(ADDRESS(ROW()-1,COLUMN())),Table1[[#This Row],[//]]))</f>
        <v/>
      </c>
      <c r="X324" s="234" t="str">
        <f ca="1">IF(Table1[[#This Row],[h_id]]="","",COUNTIF(Table1[h_id],Table1[[#This Row],[h_id]]))</f>
        <v/>
      </c>
      <c r="Y324" s="237" t="str">
        <f>IF(Table1[[#This Row],[Column12]]="","",Table1[[#This Row],[Qty]]*Table1[[#This Row],[Column13]])</f>
        <v/>
      </c>
      <c r="Z324" s="237" t="str">
        <f>IF(Table1[[#This Row],[h_hargasebelumdiskon]]="","",IF(Table1[[#This Row],[Column14]]="",0,Table1[[#This Row],[h_hargasebelumdiskon]]*Table1[[#This Row],[Column14]]))</f>
        <v/>
      </c>
      <c r="AA324" s="237" t="str">
        <f>IF(Table1[[#This Row],[h_hargasebelumdiskon]]="","",IF(Table1[[#This Row],[Column15]]="",0,(Table1[[#This Row],[h_hargasebelumdiskon]]-Table1[[#This Row],[h_disc 1]])*Table1[[#This Row],[Column15]]))</f>
        <v/>
      </c>
      <c r="AB324" s="237" t="str">
        <f>IF(Table1[[#This Row],[Column12]]="","",Table1[[#This Row],[h_disc 1]]+Table1[[#This Row],[h_disc 2]])</f>
        <v/>
      </c>
      <c r="AC324" s="237" t="str">
        <f>IF(Table1[[#This Row],[Column12]]="","",Table1[[#This Row],[h_hargasebelumdiskon]]-Table1[[#This Row],[h_diskon]])</f>
        <v/>
      </c>
      <c r="AD324" s="237" t="str">
        <f ca="1">IF(Table1[[#This Row],[//]]="","",SUMIF(Table1[h_id],Table1[[#This Row],[h_id]],Table1[h_hargasetelahdiskon]))</f>
        <v/>
      </c>
      <c r="AE324" s="237"/>
      <c r="AF324" s="237" t="str">
        <f>Table1[[#This Row],[Column12]]&amp;Table1[[#This Row],[Unit]]&amp;Table1[[#This Row],[Column13]]</f>
        <v/>
      </c>
    </row>
    <row r="325" spans="1:35" s="241" customFormat="1">
      <c r="A325" s="234" t="str">
        <f ca="1">IF(Table1[[#This Row],[No. Invoice :]]="","",ROW())</f>
        <v/>
      </c>
      <c r="B325" s="234" t="str">
        <f ca="1">IF(Table1[[#This Row],[Column3]]="","",B$1+COUNT(INDIRECT("B$2:B"&amp;ROW()-1)))</f>
        <v/>
      </c>
      <c r="C325" s="235" t="str">
        <f>IF(Table1[[#This Row],[Column2]]="","",Table1[[#This Row],[Column2]]+C$1-1)</f>
        <v/>
      </c>
      <c r="D325" s="242"/>
      <c r="E325" s="236"/>
      <c r="F325" s="234"/>
      <c r="G325" s="234" t="str">
        <f ca="1">IF(Table1[[#This Row],[h_No. Invoice :]]="","",CONCATENATE("AM"," ",Table1[[#This Row],[h_No. Invoice :]]))</f>
        <v/>
      </c>
      <c r="H325" s="234" t="str">
        <f>IF(Table1[[#This Row],[Column5]]="","",INDEX(Table2[Column1],MATCH(Table1[[#This Row],[Column5]],Table2[a],0)))</f>
        <v/>
      </c>
      <c r="I325" s="234" t="str">
        <f>IF(Table1[[#This Row],[Column3]]=0,"",CONCATENATE(UPPER(Table1[[#This Row],[Column3]])," ",Table1[[#This Row],[Column4]]))</f>
        <v xml:space="preserve"> </v>
      </c>
      <c r="J325" s="234" t="str">
        <f>IF(Table1[[#This Row],[Column5]]="","",INDEX(Table2[e],IF(Table1[[#This Row],[Column5]]="","",MATCH(Table1[[#This Row],[Column5]],Table2[a],0)),))</f>
        <v/>
      </c>
      <c r="K325" s="234"/>
      <c r="L325" s="234"/>
      <c r="M325" s="234"/>
      <c r="N325" s="234"/>
      <c r="O325" s="234" t="str">
        <f>IF(Table1[[#This Row],[h_Item Description]]="","",INDEX([1]!db[NB PAJAK],MATCH(Table1[[#This Row],[h_Item Description]],[1]!db[kode],0)))</f>
        <v/>
      </c>
      <c r="P325" s="234"/>
      <c r="Q325" s="237"/>
      <c r="R325" s="238"/>
      <c r="S325" s="238"/>
      <c r="T325" s="237" t="str">
        <f>Table1[[#This Row],[h_hargasetelahdiskon]]</f>
        <v/>
      </c>
      <c r="U325" s="237"/>
      <c r="V325" s="234"/>
      <c r="W325" s="234" t="str">
        <f ca="1">IF(Table1[[#This Row],[Column12]]="","",IF(Table1[[#This Row],[//]]="",INDIRECT(ADDRESS(ROW()-1,COLUMN())),Table1[[#This Row],[//]]))</f>
        <v/>
      </c>
      <c r="X325" s="234" t="str">
        <f ca="1">IF(Table1[[#This Row],[h_id]]="","",COUNTIF(Table1[h_id],Table1[[#This Row],[h_id]]))</f>
        <v/>
      </c>
      <c r="Y325" s="237" t="str">
        <f>IF(Table1[[#This Row],[Column12]]="","",Table1[[#This Row],[Qty]]*Table1[[#This Row],[Column13]])</f>
        <v/>
      </c>
      <c r="Z325" s="237" t="str">
        <f>IF(Table1[[#This Row],[h_hargasebelumdiskon]]="","",IF(Table1[[#This Row],[Column14]]="",0,Table1[[#This Row],[h_hargasebelumdiskon]]*Table1[[#This Row],[Column14]]))</f>
        <v/>
      </c>
      <c r="AA325" s="237" t="str">
        <f>IF(Table1[[#This Row],[h_hargasebelumdiskon]]="","",IF(Table1[[#This Row],[Column15]]="",0,(Table1[[#This Row],[h_hargasebelumdiskon]]-Table1[[#This Row],[h_disc 1]])*Table1[[#This Row],[Column15]]))</f>
        <v/>
      </c>
      <c r="AB325" s="237" t="str">
        <f>IF(Table1[[#This Row],[Column12]]="","",Table1[[#This Row],[h_disc 1]]+Table1[[#This Row],[h_disc 2]])</f>
        <v/>
      </c>
      <c r="AC325" s="237" t="str">
        <f>IF(Table1[[#This Row],[Column12]]="","",Table1[[#This Row],[h_hargasebelumdiskon]]-Table1[[#This Row],[h_diskon]])</f>
        <v/>
      </c>
      <c r="AD325" s="237" t="str">
        <f ca="1">IF(Table1[[#This Row],[//]]="","",SUMIF(Table1[h_id],Table1[[#This Row],[h_id]],Table1[h_hargasetelahdiskon]))</f>
        <v/>
      </c>
      <c r="AE325" s="237"/>
      <c r="AF325" s="237" t="str">
        <f>Table1[[#This Row],[Column12]]&amp;Table1[[#This Row],[Unit]]&amp;Table1[[#This Row],[Column13]]</f>
        <v/>
      </c>
    </row>
    <row r="326" spans="1:35" s="241" customFormat="1">
      <c r="A326" s="234" t="str">
        <f ca="1">IF(Table1[[#This Row],[No. Invoice :]]="","",ROW())</f>
        <v/>
      </c>
      <c r="B326" s="234" t="str">
        <f ca="1">IF(Table1[[#This Row],[Column3]]="","",B$1+COUNT(INDIRECT("B$2:B"&amp;ROW()-1)))</f>
        <v/>
      </c>
      <c r="C326" s="235" t="str">
        <f>IF(Table1[[#This Row],[Column2]]="","",Table1[[#This Row],[Column2]]+C$1-1)</f>
        <v/>
      </c>
      <c r="D326" s="242"/>
      <c r="E326" s="236"/>
      <c r="F326" s="234"/>
      <c r="G326" s="234" t="str">
        <f ca="1">IF(Table1[[#This Row],[h_No. Invoice :]]="","",CONCATENATE("AM"," ",Table1[[#This Row],[h_No. Invoice :]]))</f>
        <v/>
      </c>
      <c r="H326" s="234" t="str">
        <f>IF(Table1[[#This Row],[Column5]]="","",INDEX(Table2[Column1],MATCH(Table1[[#This Row],[Column5]],Table2[a],0)))</f>
        <v/>
      </c>
      <c r="I326" s="234" t="str">
        <f>IF(Table1[[#This Row],[Column3]]=0,"",CONCATENATE(UPPER(Table1[[#This Row],[Column3]])," ",Table1[[#This Row],[Column4]]))</f>
        <v xml:space="preserve"> </v>
      </c>
      <c r="J326" s="234" t="str">
        <f>IF(Table1[[#This Row],[Column5]]="","",INDEX(Table2[e],IF(Table1[[#This Row],[Column5]]="","",MATCH(Table1[[#This Row],[Column5]],Table2[a],0)),))</f>
        <v/>
      </c>
      <c r="K326" s="234"/>
      <c r="L326" s="234"/>
      <c r="M326" s="234"/>
      <c r="N326" s="234"/>
      <c r="O326" s="234" t="str">
        <f>IF(Table1[[#This Row],[h_Item Description]]="","",INDEX([1]!db[NB PAJAK],MATCH(Table1[[#This Row],[h_Item Description]],[1]!db[kode],0)))</f>
        <v/>
      </c>
      <c r="P326" s="234"/>
      <c r="Q326" s="237"/>
      <c r="R326" s="238"/>
      <c r="S326" s="238"/>
      <c r="T326" s="237" t="str">
        <f>Table1[[#This Row],[h_hargasetelahdiskon]]</f>
        <v/>
      </c>
      <c r="U326" s="237"/>
      <c r="V326" s="234"/>
      <c r="W326" s="234" t="str">
        <f ca="1">IF(Table1[[#This Row],[Column12]]="","",IF(Table1[[#This Row],[//]]="",INDIRECT(ADDRESS(ROW()-1,COLUMN())),Table1[[#This Row],[//]]))</f>
        <v/>
      </c>
      <c r="X326" s="234" t="str">
        <f ca="1">IF(Table1[[#This Row],[h_id]]="","",COUNTIF(Table1[h_id],Table1[[#This Row],[h_id]]))</f>
        <v/>
      </c>
      <c r="Y326" s="237" t="str">
        <f>IF(Table1[[#This Row],[Column12]]="","",Table1[[#This Row],[Qty]]*Table1[[#This Row],[Column13]])</f>
        <v/>
      </c>
      <c r="Z326" s="237" t="str">
        <f>IF(Table1[[#This Row],[h_hargasebelumdiskon]]="","",IF(Table1[[#This Row],[Column14]]="",0,Table1[[#This Row],[h_hargasebelumdiskon]]*Table1[[#This Row],[Column14]]))</f>
        <v/>
      </c>
      <c r="AA326" s="237" t="str">
        <f>IF(Table1[[#This Row],[h_hargasebelumdiskon]]="","",IF(Table1[[#This Row],[Column15]]="",0,(Table1[[#This Row],[h_hargasebelumdiskon]]-Table1[[#This Row],[h_disc 1]])*Table1[[#This Row],[Column15]]))</f>
        <v/>
      </c>
      <c r="AB326" s="237" t="str">
        <f>IF(Table1[[#This Row],[Column12]]="","",Table1[[#This Row],[h_disc 1]]+Table1[[#This Row],[h_disc 2]])</f>
        <v/>
      </c>
      <c r="AC326" s="237" t="str">
        <f>IF(Table1[[#This Row],[Column12]]="","",Table1[[#This Row],[h_hargasebelumdiskon]]-Table1[[#This Row],[h_diskon]])</f>
        <v/>
      </c>
      <c r="AD326" s="237" t="str">
        <f ca="1">IF(Table1[[#This Row],[//]]="","",SUMIF(Table1[h_id],Table1[[#This Row],[h_id]],Table1[h_hargasetelahdiskon]))</f>
        <v/>
      </c>
      <c r="AE326" s="237"/>
      <c r="AF326" s="237" t="str">
        <f>Table1[[#This Row],[Column12]]&amp;Table1[[#This Row],[Unit]]&amp;Table1[[#This Row],[Column13]]</f>
        <v/>
      </c>
    </row>
    <row r="327" spans="1:35" s="241" customFormat="1">
      <c r="A327" s="234" t="str">
        <f ca="1">IF(Table1[[#This Row],[No. Invoice :]]="","",ROW())</f>
        <v/>
      </c>
      <c r="B327" s="234" t="str">
        <f ca="1">IF(Table1[[#This Row],[Column3]]="","",B$1+COUNT(INDIRECT("B$2:B"&amp;ROW()-1)))</f>
        <v/>
      </c>
      <c r="C327" s="235" t="str">
        <f>IF(Table1[[#This Row],[Column2]]="","",Table1[[#This Row],[Column2]]+C$1-1)</f>
        <v/>
      </c>
      <c r="D327" s="242"/>
      <c r="E327" s="236"/>
      <c r="F327" s="234"/>
      <c r="G327" s="234" t="str">
        <f ca="1">IF(Table1[[#This Row],[h_No. Invoice :]]="","",CONCATENATE("AM"," ",Table1[[#This Row],[h_No. Invoice :]]))</f>
        <v/>
      </c>
      <c r="H327" s="234" t="str">
        <f>IF(Table1[[#This Row],[Column5]]="","",INDEX(Table2[Column1],MATCH(Table1[[#This Row],[Column5]],Table2[a],0)))</f>
        <v/>
      </c>
      <c r="I327" s="234" t="str">
        <f>IF(Table1[[#This Row],[Column3]]=0,"",CONCATENATE(UPPER(Table1[[#This Row],[Column3]])," ",Table1[[#This Row],[Column4]]))</f>
        <v xml:space="preserve"> </v>
      </c>
      <c r="J327" s="234" t="str">
        <f>IF(Table1[[#This Row],[Column5]]="","",INDEX(Table2[e],IF(Table1[[#This Row],[Column5]]="","",MATCH(Table1[[#This Row],[Column5]],Table2[a],0)),))</f>
        <v/>
      </c>
      <c r="K327" s="234"/>
      <c r="L327" s="234"/>
      <c r="M327" s="234"/>
      <c r="N327" s="234"/>
      <c r="O327" s="234" t="str">
        <f>IF(Table1[[#This Row],[h_Item Description]]="","",INDEX([1]!db[NB PAJAK],MATCH(Table1[[#This Row],[h_Item Description]],[1]!db[kode],0)))</f>
        <v/>
      </c>
      <c r="P327" s="234"/>
      <c r="Q327" s="237"/>
      <c r="R327" s="238"/>
      <c r="S327" s="238"/>
      <c r="T327" s="237" t="str">
        <f>Table1[[#This Row],[h_hargasetelahdiskon]]</f>
        <v/>
      </c>
      <c r="U327" s="237"/>
      <c r="V327" s="234"/>
      <c r="W327" s="234" t="str">
        <f ca="1">IF(Table1[[#This Row],[Column12]]="","",IF(Table1[[#This Row],[//]]="",INDIRECT(ADDRESS(ROW()-1,COLUMN())),Table1[[#This Row],[//]]))</f>
        <v/>
      </c>
      <c r="X327" s="234" t="str">
        <f ca="1">IF(Table1[[#This Row],[h_id]]="","",COUNTIF(Table1[h_id],Table1[[#This Row],[h_id]]))</f>
        <v/>
      </c>
      <c r="Y327" s="237" t="str">
        <f>IF(Table1[[#This Row],[Column12]]="","",Table1[[#This Row],[Qty]]*Table1[[#This Row],[Column13]])</f>
        <v/>
      </c>
      <c r="Z327" s="237" t="str">
        <f>IF(Table1[[#This Row],[h_hargasebelumdiskon]]="","",IF(Table1[[#This Row],[Column14]]="",0,Table1[[#This Row],[h_hargasebelumdiskon]]*Table1[[#This Row],[Column14]]))</f>
        <v/>
      </c>
      <c r="AA327" s="237" t="str">
        <f>IF(Table1[[#This Row],[h_hargasebelumdiskon]]="","",IF(Table1[[#This Row],[Column15]]="",0,(Table1[[#This Row],[h_hargasebelumdiskon]]-Table1[[#This Row],[h_disc 1]])*Table1[[#This Row],[Column15]]))</f>
        <v/>
      </c>
      <c r="AB327" s="237" t="str">
        <f>IF(Table1[[#This Row],[Column12]]="","",Table1[[#This Row],[h_disc 1]]+Table1[[#This Row],[h_disc 2]])</f>
        <v/>
      </c>
      <c r="AC327" s="237" t="str">
        <f>IF(Table1[[#This Row],[Column12]]="","",Table1[[#This Row],[h_hargasebelumdiskon]]-Table1[[#This Row],[h_diskon]])</f>
        <v/>
      </c>
      <c r="AD327" s="237" t="str">
        <f ca="1">IF(Table1[[#This Row],[//]]="","",SUMIF(Table1[h_id],Table1[[#This Row],[h_id]],Table1[h_hargasetelahdiskon]))</f>
        <v/>
      </c>
      <c r="AE327" s="237"/>
      <c r="AF327" s="237" t="str">
        <f>Table1[[#This Row],[Column12]]&amp;Table1[[#This Row],[Unit]]&amp;Table1[[#This Row],[Column13]]</f>
        <v/>
      </c>
    </row>
    <row r="328" spans="1:35" s="241" customFormat="1">
      <c r="A328" s="234" t="str">
        <f ca="1">IF(Table1[[#This Row],[No. Invoice :]]="","",ROW())</f>
        <v/>
      </c>
      <c r="B328" s="234" t="str">
        <f ca="1">IF(Table1[[#This Row],[Column3]]="","",B$1+COUNT(INDIRECT("B$2:B"&amp;ROW()-1)))</f>
        <v/>
      </c>
      <c r="C328" s="235" t="str">
        <f>IF(Table1[[#This Row],[Column2]]="","",Table1[[#This Row],[Column2]]+C$1-1)</f>
        <v/>
      </c>
      <c r="D328" s="242"/>
      <c r="E328" s="236"/>
      <c r="F328" s="234"/>
      <c r="G328" s="234" t="str">
        <f ca="1">IF(Table1[[#This Row],[h_No. Invoice :]]="","",CONCATENATE("AM"," ",Table1[[#This Row],[h_No. Invoice :]]))</f>
        <v/>
      </c>
      <c r="H328" s="234" t="str">
        <f>IF(Table1[[#This Row],[Column5]]="","",INDEX(Table2[Column1],MATCH(Table1[[#This Row],[Column5]],Table2[a],0)))</f>
        <v/>
      </c>
      <c r="I328" s="234" t="str">
        <f>IF(Table1[[#This Row],[Column3]]=0,"",CONCATENATE(UPPER(Table1[[#This Row],[Column3]])," ",Table1[[#This Row],[Column4]]))</f>
        <v xml:space="preserve"> </v>
      </c>
      <c r="J328" s="234" t="str">
        <f>IF(Table1[[#This Row],[Column5]]="","",INDEX(Table2[e],IF(Table1[[#This Row],[Column5]]="","",MATCH(Table1[[#This Row],[Column5]],Table2[a],0)),))</f>
        <v/>
      </c>
      <c r="K328" s="234"/>
      <c r="L328" s="234"/>
      <c r="M328" s="234"/>
      <c r="N328" s="234"/>
      <c r="O328" s="234" t="str">
        <f>IF(Table1[[#This Row],[h_Item Description]]="","",INDEX([1]!db[NB PAJAK],MATCH(Table1[[#This Row],[h_Item Description]],[1]!db[kode],0)))</f>
        <v/>
      </c>
      <c r="P328" s="234"/>
      <c r="Q328" s="237"/>
      <c r="R328" s="238"/>
      <c r="S328" s="238"/>
      <c r="T328" s="237" t="str">
        <f>Table1[[#This Row],[h_hargasetelahdiskon]]</f>
        <v/>
      </c>
      <c r="U328" s="237"/>
      <c r="V328" s="234"/>
      <c r="W328" s="234" t="str">
        <f ca="1">IF(Table1[[#This Row],[Column12]]="","",IF(Table1[[#This Row],[//]]="",INDIRECT(ADDRESS(ROW()-1,COLUMN())),Table1[[#This Row],[//]]))</f>
        <v/>
      </c>
      <c r="X328" s="234" t="str">
        <f ca="1">IF(Table1[[#This Row],[h_id]]="","",COUNTIF(Table1[h_id],Table1[[#This Row],[h_id]]))</f>
        <v/>
      </c>
      <c r="Y328" s="237" t="str">
        <f>IF(Table1[[#This Row],[Column12]]="","",Table1[[#This Row],[Qty]]*Table1[[#This Row],[Column13]])</f>
        <v/>
      </c>
      <c r="Z328" s="237" t="str">
        <f>IF(Table1[[#This Row],[h_hargasebelumdiskon]]="","",IF(Table1[[#This Row],[Column14]]="",0,Table1[[#This Row],[h_hargasebelumdiskon]]*Table1[[#This Row],[Column14]]))</f>
        <v/>
      </c>
      <c r="AA328" s="237" t="str">
        <f>IF(Table1[[#This Row],[h_hargasebelumdiskon]]="","",IF(Table1[[#This Row],[Column15]]="",0,(Table1[[#This Row],[h_hargasebelumdiskon]]-Table1[[#This Row],[h_disc 1]])*Table1[[#This Row],[Column15]]))</f>
        <v/>
      </c>
      <c r="AB328" s="237" t="str">
        <f>IF(Table1[[#This Row],[Column12]]="","",Table1[[#This Row],[h_disc 1]]+Table1[[#This Row],[h_disc 2]])</f>
        <v/>
      </c>
      <c r="AC328" s="237" t="str">
        <f>IF(Table1[[#This Row],[Column12]]="","",Table1[[#This Row],[h_hargasebelumdiskon]]-Table1[[#This Row],[h_diskon]])</f>
        <v/>
      </c>
      <c r="AD328" s="237" t="str">
        <f ca="1">IF(Table1[[#This Row],[//]]="","",SUMIF(Table1[h_id],Table1[[#This Row],[h_id]],Table1[h_hargasetelahdiskon]))</f>
        <v/>
      </c>
      <c r="AE328" s="237"/>
      <c r="AF328" s="237" t="str">
        <f>Table1[[#This Row],[Column12]]&amp;Table1[[#This Row],[Unit]]&amp;Table1[[#This Row],[Column13]]</f>
        <v/>
      </c>
    </row>
    <row r="329" spans="1:35" s="241" customFormat="1">
      <c r="A329" s="234" t="str">
        <f ca="1">IF(Table1[[#This Row],[No. Invoice :]]="","",ROW())</f>
        <v/>
      </c>
      <c r="B329" s="234" t="str">
        <f ca="1">IF(Table1[[#This Row],[Column3]]="","",B$1+COUNT(INDIRECT("B$2:B"&amp;ROW()-1)))</f>
        <v/>
      </c>
      <c r="C329" s="235" t="str">
        <f>IF(Table1[[#This Row],[Column2]]="","",Table1[[#This Row],[Column2]]+C$1-1)</f>
        <v/>
      </c>
      <c r="D329" s="242"/>
      <c r="E329" s="236"/>
      <c r="F329" s="234"/>
      <c r="G329" s="234" t="str">
        <f ca="1">IF(Table1[[#This Row],[h_No. Invoice :]]="","",CONCATENATE("AM"," ",Table1[[#This Row],[h_No. Invoice :]]))</f>
        <v/>
      </c>
      <c r="H329" s="234" t="str">
        <f>IF(Table1[[#This Row],[Column5]]="","",INDEX(Table2[Column1],MATCH(Table1[[#This Row],[Column5]],Table2[a],0)))</f>
        <v/>
      </c>
      <c r="I329" s="234" t="str">
        <f>IF(Table1[[#This Row],[Column3]]=0,"",CONCATENATE(UPPER(Table1[[#This Row],[Column3]])," ",Table1[[#This Row],[Column4]]))</f>
        <v xml:space="preserve"> </v>
      </c>
      <c r="J329" s="234" t="str">
        <f>IF(Table1[[#This Row],[Column5]]="","",INDEX(Table2[e],IF(Table1[[#This Row],[Column5]]="","",MATCH(Table1[[#This Row],[Column5]],Table2[a],0)),))</f>
        <v/>
      </c>
      <c r="K329" s="234"/>
      <c r="L329" s="234"/>
      <c r="M329" s="234"/>
      <c r="N329" s="234"/>
      <c r="O329" s="234" t="str">
        <f>IF(Table1[[#This Row],[h_Item Description]]="","",INDEX([1]!db[NB PAJAK],MATCH(Table1[[#This Row],[h_Item Description]],[1]!db[kode],0)))</f>
        <v/>
      </c>
      <c r="P329" s="234"/>
      <c r="Q329" s="237"/>
      <c r="R329" s="238"/>
      <c r="S329" s="238"/>
      <c r="T329" s="237" t="str">
        <f>Table1[[#This Row],[h_hargasetelahdiskon]]</f>
        <v/>
      </c>
      <c r="U329" s="237"/>
      <c r="V329" s="234"/>
      <c r="W329" s="234" t="str">
        <f ca="1">IF(Table1[[#This Row],[Column12]]="","",IF(Table1[[#This Row],[//]]="",INDIRECT(ADDRESS(ROW()-1,COLUMN())),Table1[[#This Row],[//]]))</f>
        <v/>
      </c>
      <c r="X329" s="234" t="str">
        <f ca="1">IF(Table1[[#This Row],[h_id]]="","",COUNTIF(Table1[h_id],Table1[[#This Row],[h_id]]))</f>
        <v/>
      </c>
      <c r="Y329" s="237" t="str">
        <f>IF(Table1[[#This Row],[Column12]]="","",Table1[[#This Row],[Qty]]*Table1[[#This Row],[Column13]])</f>
        <v/>
      </c>
      <c r="Z329" s="237" t="str">
        <f>IF(Table1[[#This Row],[h_hargasebelumdiskon]]="","",IF(Table1[[#This Row],[Column14]]="",0,Table1[[#This Row],[h_hargasebelumdiskon]]*Table1[[#This Row],[Column14]]))</f>
        <v/>
      </c>
      <c r="AA329" s="237" t="str">
        <f>IF(Table1[[#This Row],[h_hargasebelumdiskon]]="","",IF(Table1[[#This Row],[Column15]]="",0,(Table1[[#This Row],[h_hargasebelumdiskon]]-Table1[[#This Row],[h_disc 1]])*Table1[[#This Row],[Column15]]))</f>
        <v/>
      </c>
      <c r="AB329" s="237" t="str">
        <f>IF(Table1[[#This Row],[Column12]]="","",Table1[[#This Row],[h_disc 1]]+Table1[[#This Row],[h_disc 2]])</f>
        <v/>
      </c>
      <c r="AC329" s="237" t="str">
        <f>IF(Table1[[#This Row],[Column12]]="","",Table1[[#This Row],[h_hargasebelumdiskon]]-Table1[[#This Row],[h_diskon]])</f>
        <v/>
      </c>
      <c r="AD329" s="237" t="str">
        <f ca="1">IF(Table1[[#This Row],[//]]="","",SUMIF(Table1[h_id],Table1[[#This Row],[h_id]],Table1[h_hargasetelahdiskon]))</f>
        <v/>
      </c>
      <c r="AE329" s="237"/>
      <c r="AF329" s="237" t="str">
        <f>Table1[[#This Row],[Column12]]&amp;Table1[[#This Row],[Unit]]&amp;Table1[[#This Row],[Column13]]</f>
        <v/>
      </c>
    </row>
    <row r="330" spans="1:35">
      <c r="A330" s="234" t="str">
        <f ca="1">IF(Table1[[#This Row],[No. Invoice :]]="","",ROW())</f>
        <v/>
      </c>
      <c r="B330" s="234" t="str">
        <f ca="1">IF(Table1[[#This Row],[Column3]]="","",B$1+COUNT(INDIRECT("B$2:B"&amp;ROW()-1)))</f>
        <v/>
      </c>
      <c r="C330" s="235" t="str">
        <f>IF(Table1[[#This Row],[Column2]]="","",Table1[[#This Row],[Column2]]+C$1-1)</f>
        <v/>
      </c>
      <c r="E330" s="236"/>
      <c r="F330" s="234"/>
      <c r="G330" s="234" t="str">
        <f ca="1">IF(Table1[[#This Row],[h_No. Invoice :]]="","",CONCATENATE("AM"," ",Table1[[#This Row],[h_No. Invoice :]]))</f>
        <v/>
      </c>
      <c r="H330" s="234" t="str">
        <f>IF(Table1[[#This Row],[Column5]]="","",INDEX(Table2[Column1],MATCH(Table1[[#This Row],[Column5]],Table2[a],0)))</f>
        <v/>
      </c>
      <c r="I330" s="234" t="str">
        <f>IF(Table1[[#This Row],[Column3]]=0,"",CONCATENATE(UPPER(Table1[[#This Row],[Column3]])," ",Table1[[#This Row],[Column4]]))</f>
        <v xml:space="preserve"> </v>
      </c>
      <c r="J330" s="234" t="str">
        <f>IF(Table1[[#This Row],[Column5]]="","",INDEX(Table2[e],IF(Table1[[#This Row],[Column5]]="","",MATCH(Table1[[#This Row],[Column5]],Table2[a],0)),))</f>
        <v/>
      </c>
      <c r="K330" s="234"/>
      <c r="L330" s="234"/>
      <c r="O330" s="234" t="str">
        <f>IF(Table1[[#This Row],[h_Item Description]]="","",INDEX([1]!db[NB PAJAK],MATCH(Table1[[#This Row],[h_Item Description]],[1]!db[kode],0)))</f>
        <v/>
      </c>
      <c r="Q330" s="237"/>
      <c r="R330" s="238"/>
      <c r="S330" s="238"/>
      <c r="T330" s="237" t="str">
        <f>Table1[[#This Row],[h_hargasetelahdiskon]]</f>
        <v/>
      </c>
      <c r="V330" s="234"/>
      <c r="W330" s="234" t="str">
        <f ca="1">IF(Table1[[#This Row],[Column12]]="","",IF(Table1[[#This Row],[//]]="",INDIRECT(ADDRESS(ROW()-1,COLUMN())),Table1[[#This Row],[//]]))</f>
        <v/>
      </c>
      <c r="X330" s="234" t="str">
        <f ca="1">IF(Table1[[#This Row],[h_id]]="","",COUNTIF(Table1[h_id],Table1[[#This Row],[h_id]]))</f>
        <v/>
      </c>
      <c r="Y330" s="237" t="str">
        <f>IF(Table1[[#This Row],[Column12]]="","",Table1[[#This Row],[Qty]]*Table1[[#This Row],[Column13]])</f>
        <v/>
      </c>
      <c r="Z330" s="237" t="str">
        <f>IF(Table1[[#This Row],[h_hargasebelumdiskon]]="","",IF(Table1[[#This Row],[Column14]]="",0,Table1[[#This Row],[h_hargasebelumdiskon]]*Table1[[#This Row],[Column14]]))</f>
        <v/>
      </c>
      <c r="AA330" s="237" t="str">
        <f>IF(Table1[[#This Row],[h_hargasebelumdiskon]]="","",IF(Table1[[#This Row],[Column15]]="",0,(Table1[[#This Row],[h_hargasebelumdiskon]]-Table1[[#This Row],[h_disc 1]])*Table1[[#This Row],[Column15]]))</f>
        <v/>
      </c>
      <c r="AB330" s="237" t="str">
        <f>IF(Table1[[#This Row],[Column12]]="","",Table1[[#This Row],[h_disc 1]]+Table1[[#This Row],[h_disc 2]])</f>
        <v/>
      </c>
      <c r="AC330" s="237" t="str">
        <f>IF(Table1[[#This Row],[Column12]]="","",Table1[[#This Row],[h_hargasebelumdiskon]]-Table1[[#This Row],[h_diskon]])</f>
        <v/>
      </c>
      <c r="AD330" s="237" t="str">
        <f ca="1">IF(Table1[[#This Row],[//]]="","",SUMIF(Table1[h_id],Table1[[#This Row],[h_id]],Table1[h_hargasetelahdiskon]))</f>
        <v/>
      </c>
      <c r="AF330" s="237" t="str">
        <f>Table1[[#This Row],[Column12]]&amp;Table1[[#This Row],[Unit]]&amp;Table1[[#This Row],[Column13]]</f>
        <v/>
      </c>
      <c r="AG330"/>
      <c r="AH330"/>
      <c r="AI330"/>
    </row>
    <row r="331" spans="1:35">
      <c r="A331" s="234" t="str">
        <f ca="1">IF(Table1[[#This Row],[No. Invoice :]]="","",ROW())</f>
        <v/>
      </c>
      <c r="B331" s="234" t="str">
        <f ca="1">IF(Table1[[#This Row],[Column3]]="","",B$1+COUNT(INDIRECT("B$2:B"&amp;ROW()-1)))</f>
        <v/>
      </c>
      <c r="C331" s="235" t="str">
        <f>IF(Table1[[#This Row],[Column2]]="","",Table1[[#This Row],[Column2]]+C$1-1)</f>
        <v/>
      </c>
      <c r="E331" s="236"/>
      <c r="F331" s="234"/>
      <c r="G331" s="234" t="str">
        <f ca="1">IF(Table1[[#This Row],[h_No. Invoice :]]="","",CONCATENATE("AM"," ",Table1[[#This Row],[h_No. Invoice :]]))</f>
        <v/>
      </c>
      <c r="H331" s="234" t="str">
        <f>IF(Table1[[#This Row],[Column5]]="","",INDEX(Table2[Column1],MATCH(Table1[[#This Row],[Column5]],Table2[a],0)))</f>
        <v/>
      </c>
      <c r="I331" s="234" t="str">
        <f>IF(Table1[[#This Row],[Column3]]=0,"",CONCATENATE(UPPER(Table1[[#This Row],[Column3]])," ",Table1[[#This Row],[Column4]]))</f>
        <v xml:space="preserve"> </v>
      </c>
      <c r="J331" s="234" t="str">
        <f>IF(Table1[[#This Row],[Column5]]="","",INDEX(Table2[e],IF(Table1[[#This Row],[Column5]]="","",MATCH(Table1[[#This Row],[Column5]],Table2[a],0)),))</f>
        <v/>
      </c>
      <c r="K331" s="234"/>
      <c r="L331" s="234"/>
      <c r="O331" s="234" t="str">
        <f>IF(Table1[[#This Row],[h_Item Description]]="","",INDEX([1]!db[NB PAJAK],MATCH(Table1[[#This Row],[h_Item Description]],[1]!db[kode],0)))</f>
        <v/>
      </c>
      <c r="Q331" s="237"/>
      <c r="R331" s="238"/>
      <c r="S331" s="238"/>
      <c r="T331" s="237" t="str">
        <f>Table1[[#This Row],[h_hargasetelahdiskon]]</f>
        <v/>
      </c>
      <c r="V331" s="234"/>
      <c r="W331" s="234" t="str">
        <f ca="1">IF(Table1[[#This Row],[Column12]]="","",IF(Table1[[#This Row],[//]]="",INDIRECT(ADDRESS(ROW()-1,COLUMN())),Table1[[#This Row],[//]]))</f>
        <v/>
      </c>
      <c r="X331" s="234" t="str">
        <f ca="1">IF(Table1[[#This Row],[h_id]]="","",COUNTIF(Table1[h_id],Table1[[#This Row],[h_id]]))</f>
        <v/>
      </c>
      <c r="Y331" s="237" t="str">
        <f>IF(Table1[[#This Row],[Column12]]="","",Table1[[#This Row],[Qty]]*Table1[[#This Row],[Column13]])</f>
        <v/>
      </c>
      <c r="Z331" s="237" t="str">
        <f>IF(Table1[[#This Row],[h_hargasebelumdiskon]]="","",IF(Table1[[#This Row],[Column14]]="",0,Table1[[#This Row],[h_hargasebelumdiskon]]*Table1[[#This Row],[Column14]]))</f>
        <v/>
      </c>
      <c r="AA331" s="237" t="str">
        <f>IF(Table1[[#This Row],[h_hargasebelumdiskon]]="","",IF(Table1[[#This Row],[Column15]]="",0,(Table1[[#This Row],[h_hargasebelumdiskon]]-Table1[[#This Row],[h_disc 1]])*Table1[[#This Row],[Column15]]))</f>
        <v/>
      </c>
      <c r="AB331" s="237" t="str">
        <f>IF(Table1[[#This Row],[Column12]]="","",Table1[[#This Row],[h_disc 1]]+Table1[[#This Row],[h_disc 2]])</f>
        <v/>
      </c>
      <c r="AC331" s="237" t="str">
        <f>IF(Table1[[#This Row],[Column12]]="","",Table1[[#This Row],[h_hargasebelumdiskon]]-Table1[[#This Row],[h_diskon]])</f>
        <v/>
      </c>
      <c r="AD331" s="237" t="str">
        <f ca="1">IF(Table1[[#This Row],[//]]="","",SUMIF(Table1[h_id],Table1[[#This Row],[h_id]],Table1[h_hargasetelahdiskon]))</f>
        <v/>
      </c>
      <c r="AF331" s="237" t="str">
        <f>Table1[[#This Row],[Column12]]&amp;Table1[[#This Row],[Unit]]&amp;Table1[[#This Row],[Column13]]</f>
        <v/>
      </c>
      <c r="AG331"/>
      <c r="AH331"/>
      <c r="AI331"/>
    </row>
    <row r="332" spans="1:35">
      <c r="A332" s="234" t="str">
        <f ca="1">IF(Table1[[#This Row],[No. Invoice :]]="","",ROW())</f>
        <v/>
      </c>
      <c r="B332" s="234" t="str">
        <f ca="1">IF(Table1[[#This Row],[Column3]]="","",B$1+COUNT(INDIRECT("B$2:B"&amp;ROW()-1)))</f>
        <v/>
      </c>
      <c r="C332" s="235" t="str">
        <f>IF(Table1[[#This Row],[Column2]]="","",Table1[[#This Row],[Column2]]+C$1-1)</f>
        <v/>
      </c>
      <c r="E332" s="236"/>
      <c r="F332" s="234"/>
      <c r="G332" s="234" t="str">
        <f ca="1">IF(Table1[[#This Row],[h_No. Invoice :]]="","",CONCATENATE("AM"," ",Table1[[#This Row],[h_No. Invoice :]]))</f>
        <v/>
      </c>
      <c r="H332" s="234" t="str">
        <f>IF(Table1[[#This Row],[Column5]]="","",INDEX(Table2[Column1],MATCH(Table1[[#This Row],[Column5]],Table2[a],0)))</f>
        <v/>
      </c>
      <c r="I332" s="234" t="str">
        <f>IF(Table1[[#This Row],[Column3]]=0,"",CONCATENATE(UPPER(Table1[[#This Row],[Column3]])," ",Table1[[#This Row],[Column4]]))</f>
        <v xml:space="preserve"> </v>
      </c>
      <c r="J332" s="234" t="str">
        <f>IF(Table1[[#This Row],[Column5]]="","",INDEX(Table2[e],IF(Table1[[#This Row],[Column5]]="","",MATCH(Table1[[#This Row],[Column5]],Table2[a],0)),))</f>
        <v/>
      </c>
      <c r="K332" s="234"/>
      <c r="L332" s="234"/>
      <c r="O332" s="234" t="str">
        <f>IF(Table1[[#This Row],[h_Item Description]]="","",INDEX([1]!db[NB PAJAK],MATCH(Table1[[#This Row],[h_Item Description]],[1]!db[kode],0)))</f>
        <v/>
      </c>
      <c r="Q332" s="237"/>
      <c r="R332" s="238"/>
      <c r="S332" s="238"/>
      <c r="T332" s="237" t="str">
        <f>Table1[[#This Row],[h_hargasetelahdiskon]]</f>
        <v/>
      </c>
      <c r="V332" s="234"/>
      <c r="W332" s="234" t="str">
        <f ca="1">IF(Table1[[#This Row],[Column12]]="","",IF(Table1[[#This Row],[//]]="",INDIRECT(ADDRESS(ROW()-1,COLUMN())),Table1[[#This Row],[//]]))</f>
        <v/>
      </c>
      <c r="X332" s="234" t="str">
        <f ca="1">IF(Table1[[#This Row],[h_id]]="","",COUNTIF(Table1[h_id],Table1[[#This Row],[h_id]]))</f>
        <v/>
      </c>
      <c r="Y332" s="237" t="str">
        <f>IF(Table1[[#This Row],[Column12]]="","",Table1[[#This Row],[Qty]]*Table1[[#This Row],[Column13]])</f>
        <v/>
      </c>
      <c r="Z332" s="237" t="str">
        <f>IF(Table1[[#This Row],[h_hargasebelumdiskon]]="","",IF(Table1[[#This Row],[Column14]]="",0,Table1[[#This Row],[h_hargasebelumdiskon]]*Table1[[#This Row],[Column14]]))</f>
        <v/>
      </c>
      <c r="AA332" s="237" t="str">
        <f>IF(Table1[[#This Row],[h_hargasebelumdiskon]]="","",IF(Table1[[#This Row],[Column15]]="",0,(Table1[[#This Row],[h_hargasebelumdiskon]]-Table1[[#This Row],[h_disc 1]])*Table1[[#This Row],[Column15]]))</f>
        <v/>
      </c>
      <c r="AB332" s="237" t="str">
        <f>IF(Table1[[#This Row],[Column12]]="","",Table1[[#This Row],[h_disc 1]]+Table1[[#This Row],[h_disc 2]])</f>
        <v/>
      </c>
      <c r="AC332" s="237" t="str">
        <f>IF(Table1[[#This Row],[Column12]]="","",Table1[[#This Row],[h_hargasebelumdiskon]]-Table1[[#This Row],[h_diskon]])</f>
        <v/>
      </c>
      <c r="AD332" s="237" t="str">
        <f ca="1">IF(Table1[[#This Row],[//]]="","",SUMIF(Table1[h_id],Table1[[#This Row],[h_id]],Table1[h_hargasetelahdiskon]))</f>
        <v/>
      </c>
      <c r="AF332" s="237" t="str">
        <f>Table1[[#This Row],[Column12]]&amp;Table1[[#This Row],[Unit]]&amp;Table1[[#This Row],[Column13]]</f>
        <v/>
      </c>
      <c r="AG332"/>
      <c r="AH332"/>
      <c r="AI332"/>
    </row>
    <row r="333" spans="1:35">
      <c r="A333" s="234" t="str">
        <f ca="1">IF(Table1[[#This Row],[No. Invoice :]]="","",ROW())</f>
        <v/>
      </c>
      <c r="B333" s="234" t="str">
        <f ca="1">IF(Table1[[#This Row],[Column3]]="","",B$1+COUNT(INDIRECT("B$2:B"&amp;ROW()-1)))</f>
        <v/>
      </c>
      <c r="C333" s="235" t="str">
        <f>IF(Table1[[#This Row],[Column2]]="","",Table1[[#This Row],[Column2]]+C$1-1)</f>
        <v/>
      </c>
      <c r="E333" s="236"/>
      <c r="F333" s="234"/>
      <c r="G333" s="234" t="str">
        <f ca="1">IF(Table1[[#This Row],[h_No. Invoice :]]="","",CONCATENATE("AM"," ",Table1[[#This Row],[h_No. Invoice :]]))</f>
        <v/>
      </c>
      <c r="H333" s="234" t="str">
        <f>IF(Table1[[#This Row],[Column5]]="","",INDEX(Table2[Column1],MATCH(Table1[[#This Row],[Column5]],Table2[a],0)))</f>
        <v/>
      </c>
      <c r="I333" s="234" t="str">
        <f>IF(Table1[[#This Row],[Column3]]=0,"",CONCATENATE(UPPER(Table1[[#This Row],[Column3]])," ",Table1[[#This Row],[Column4]]))</f>
        <v xml:space="preserve"> </v>
      </c>
      <c r="J333" s="234" t="str">
        <f>IF(Table1[[#This Row],[Column5]]="","",INDEX(Table2[e],IF(Table1[[#This Row],[Column5]]="","",MATCH(Table1[[#This Row],[Column5]],Table2[a],0)),))</f>
        <v/>
      </c>
      <c r="K333" s="234"/>
      <c r="L333" s="234"/>
      <c r="O333" s="234" t="str">
        <f>IF(Table1[[#This Row],[h_Item Description]]="","",INDEX([1]!db[NB PAJAK],MATCH(Table1[[#This Row],[h_Item Description]],[1]!db[kode],0)))</f>
        <v/>
      </c>
      <c r="Q333" s="237"/>
      <c r="R333" s="238"/>
      <c r="S333" s="238"/>
      <c r="T333" s="237" t="str">
        <f>Table1[[#This Row],[h_hargasetelahdiskon]]</f>
        <v/>
      </c>
      <c r="V333" s="234"/>
      <c r="W333" s="234" t="str">
        <f ca="1">IF(Table1[[#This Row],[Column12]]="","",IF(Table1[[#This Row],[//]]="",INDIRECT(ADDRESS(ROW()-1,COLUMN())),Table1[[#This Row],[//]]))</f>
        <v/>
      </c>
      <c r="X333" s="234" t="str">
        <f ca="1">IF(Table1[[#This Row],[h_id]]="","",COUNTIF(Table1[h_id],Table1[[#This Row],[h_id]]))</f>
        <v/>
      </c>
      <c r="Y333" s="237" t="str">
        <f>IF(Table1[[#This Row],[Column12]]="","",Table1[[#This Row],[Qty]]*Table1[[#This Row],[Column13]])</f>
        <v/>
      </c>
      <c r="Z333" s="237" t="str">
        <f>IF(Table1[[#This Row],[h_hargasebelumdiskon]]="","",IF(Table1[[#This Row],[Column14]]="",0,Table1[[#This Row],[h_hargasebelumdiskon]]*Table1[[#This Row],[Column14]]))</f>
        <v/>
      </c>
      <c r="AA333" s="237" t="str">
        <f>IF(Table1[[#This Row],[h_hargasebelumdiskon]]="","",IF(Table1[[#This Row],[Column15]]="",0,(Table1[[#This Row],[h_hargasebelumdiskon]]-Table1[[#This Row],[h_disc 1]])*Table1[[#This Row],[Column15]]))</f>
        <v/>
      </c>
      <c r="AB333" s="237" t="str">
        <f>IF(Table1[[#This Row],[Column12]]="","",Table1[[#This Row],[h_disc 1]]+Table1[[#This Row],[h_disc 2]])</f>
        <v/>
      </c>
      <c r="AC333" s="237" t="str">
        <f>IF(Table1[[#This Row],[Column12]]="","",Table1[[#This Row],[h_hargasebelumdiskon]]-Table1[[#This Row],[h_diskon]])</f>
        <v/>
      </c>
      <c r="AD333" s="237" t="str">
        <f ca="1">IF(Table1[[#This Row],[//]]="","",SUMIF(Table1[h_id],Table1[[#This Row],[h_id]],Table1[h_hargasetelahdiskon]))</f>
        <v/>
      </c>
      <c r="AF333" s="237" t="str">
        <f>Table1[[#This Row],[Column12]]&amp;Table1[[#This Row],[Unit]]&amp;Table1[[#This Row],[Column13]]</f>
        <v/>
      </c>
      <c r="AG333"/>
      <c r="AH333"/>
      <c r="AI333"/>
    </row>
    <row r="334" spans="1:35">
      <c r="A334" s="234" t="str">
        <f ca="1">IF(Table1[[#This Row],[No. Invoice :]]="","",ROW())</f>
        <v/>
      </c>
      <c r="B334" s="234" t="str">
        <f ca="1">IF(Table1[[#This Row],[Column3]]="","",B$1+COUNT(INDIRECT("B$2:B"&amp;ROW()-1)))</f>
        <v/>
      </c>
      <c r="C334" s="235" t="str">
        <f>IF(Table1[[#This Row],[Column2]]="","",Table1[[#This Row],[Column2]]+C$1-1)</f>
        <v/>
      </c>
      <c r="E334" s="236"/>
      <c r="F334" s="234"/>
      <c r="G334" s="234" t="str">
        <f ca="1">IF(Table1[[#This Row],[h_No. Invoice :]]="","",CONCATENATE("AM"," ",Table1[[#This Row],[h_No. Invoice :]]))</f>
        <v/>
      </c>
      <c r="H334" s="234" t="str">
        <f>IF(Table1[[#This Row],[Column5]]="","",INDEX(Table2[Column1],MATCH(Table1[[#This Row],[Column5]],Table2[a],0)))</f>
        <v/>
      </c>
      <c r="I334" s="234" t="str">
        <f>IF(Table1[[#This Row],[Column3]]=0,"",CONCATENATE(UPPER(Table1[[#This Row],[Column3]])," ",Table1[[#This Row],[Column4]]))</f>
        <v xml:space="preserve"> </v>
      </c>
      <c r="J334" s="234" t="str">
        <f>IF(Table1[[#This Row],[Column5]]="","",INDEX(Table2[e],IF(Table1[[#This Row],[Column5]]="","",MATCH(Table1[[#This Row],[Column5]],Table2[a],0)),))</f>
        <v/>
      </c>
      <c r="K334" s="234"/>
      <c r="L334" s="234"/>
      <c r="O334" s="234" t="str">
        <f>IF(Table1[[#This Row],[h_Item Description]]="","",INDEX([1]!db[NB PAJAK],MATCH(Table1[[#This Row],[h_Item Description]],[1]!db[kode],0)))</f>
        <v/>
      </c>
      <c r="Q334" s="237"/>
      <c r="R334" s="238"/>
      <c r="S334" s="238"/>
      <c r="T334" s="237" t="str">
        <f>Table1[[#This Row],[h_hargasetelahdiskon]]</f>
        <v/>
      </c>
      <c r="V334" s="234"/>
      <c r="W334" s="234" t="str">
        <f ca="1">IF(Table1[[#This Row],[Column12]]="","",IF(Table1[[#This Row],[//]]="",INDIRECT(ADDRESS(ROW()-1,COLUMN())),Table1[[#This Row],[//]]))</f>
        <v/>
      </c>
      <c r="X334" s="234" t="str">
        <f ca="1">IF(Table1[[#This Row],[h_id]]="","",COUNTIF(Table1[h_id],Table1[[#This Row],[h_id]]))</f>
        <v/>
      </c>
      <c r="Y334" s="237" t="str">
        <f>IF(Table1[[#This Row],[Column12]]="","",Table1[[#This Row],[Qty]]*Table1[[#This Row],[Column13]])</f>
        <v/>
      </c>
      <c r="Z334" s="237" t="str">
        <f>IF(Table1[[#This Row],[h_hargasebelumdiskon]]="","",IF(Table1[[#This Row],[Column14]]="",0,Table1[[#This Row],[h_hargasebelumdiskon]]*Table1[[#This Row],[Column14]]))</f>
        <v/>
      </c>
      <c r="AA334" s="237" t="str">
        <f>IF(Table1[[#This Row],[h_hargasebelumdiskon]]="","",IF(Table1[[#This Row],[Column15]]="",0,(Table1[[#This Row],[h_hargasebelumdiskon]]-Table1[[#This Row],[h_disc 1]])*Table1[[#This Row],[Column15]]))</f>
        <v/>
      </c>
      <c r="AB334" s="237" t="str">
        <f>IF(Table1[[#This Row],[Column12]]="","",Table1[[#This Row],[h_disc 1]]+Table1[[#This Row],[h_disc 2]])</f>
        <v/>
      </c>
      <c r="AC334" s="237" t="str">
        <f>IF(Table1[[#This Row],[Column12]]="","",Table1[[#This Row],[h_hargasebelumdiskon]]-Table1[[#This Row],[h_diskon]])</f>
        <v/>
      </c>
      <c r="AD334" s="237" t="str">
        <f ca="1">IF(Table1[[#This Row],[//]]="","",SUMIF(Table1[h_id],Table1[[#This Row],[h_id]],Table1[h_hargasetelahdiskon]))</f>
        <v/>
      </c>
      <c r="AF334" s="237" t="str">
        <f>Table1[[#This Row],[Column12]]&amp;Table1[[#This Row],[Unit]]&amp;Table1[[#This Row],[Column13]]</f>
        <v/>
      </c>
      <c r="AG334"/>
      <c r="AH334"/>
      <c r="AI334"/>
    </row>
    <row r="335" spans="1:35">
      <c r="A335" s="234" t="str">
        <f ca="1">IF(Table1[[#This Row],[No. Invoice :]]="","",ROW())</f>
        <v/>
      </c>
      <c r="B335" s="234" t="str">
        <f ca="1">IF(Table1[[#This Row],[Column3]]="","",B$1+COUNT(INDIRECT("B$2:B"&amp;ROW()-1)))</f>
        <v/>
      </c>
      <c r="C335" s="235" t="str">
        <f>IF(Table1[[#This Row],[Column2]]="","",Table1[[#This Row],[Column2]]+C$1-1)</f>
        <v/>
      </c>
      <c r="E335" s="236"/>
      <c r="F335" s="234"/>
      <c r="G335" s="234" t="str">
        <f ca="1">IF(Table1[[#This Row],[h_No. Invoice :]]="","",CONCATENATE("AM"," ",Table1[[#This Row],[h_No. Invoice :]]))</f>
        <v/>
      </c>
      <c r="H335" s="234" t="str">
        <f>IF(Table1[[#This Row],[Column5]]="","",INDEX(Table2[Column1],MATCH(Table1[[#This Row],[Column5]],Table2[a],0)))</f>
        <v/>
      </c>
      <c r="I335" s="234" t="str">
        <f>IF(Table1[[#This Row],[Column3]]=0,"",CONCATENATE(UPPER(Table1[[#This Row],[Column3]])," ",Table1[[#This Row],[Column4]]))</f>
        <v xml:space="preserve"> </v>
      </c>
      <c r="J335" s="234" t="str">
        <f>IF(Table1[[#This Row],[Column5]]="","",INDEX(Table2[e],IF(Table1[[#This Row],[Column5]]="","",MATCH(Table1[[#This Row],[Column5]],Table2[a],0)),))</f>
        <v/>
      </c>
      <c r="K335" s="234"/>
      <c r="L335" s="234"/>
      <c r="O335" s="234" t="str">
        <f>IF(Table1[[#This Row],[h_Item Description]]="","",INDEX([1]!db[NB PAJAK],MATCH(Table1[[#This Row],[h_Item Description]],[1]!db[kode],0)))</f>
        <v/>
      </c>
      <c r="Q335" s="237"/>
      <c r="R335" s="238"/>
      <c r="S335" s="238"/>
      <c r="T335" s="237" t="str">
        <f>Table1[[#This Row],[h_hargasetelahdiskon]]</f>
        <v/>
      </c>
      <c r="V335" s="234"/>
      <c r="W335" s="234" t="str">
        <f ca="1">IF(Table1[[#This Row],[Column12]]="","",IF(Table1[[#This Row],[//]]="",INDIRECT(ADDRESS(ROW()-1,COLUMN())),Table1[[#This Row],[//]]))</f>
        <v/>
      </c>
      <c r="X335" s="234" t="str">
        <f ca="1">IF(Table1[[#This Row],[h_id]]="","",COUNTIF(Table1[h_id],Table1[[#This Row],[h_id]]))</f>
        <v/>
      </c>
      <c r="Y335" s="237" t="str">
        <f>IF(Table1[[#This Row],[Column12]]="","",Table1[[#This Row],[Qty]]*Table1[[#This Row],[Column13]])</f>
        <v/>
      </c>
      <c r="Z335" s="237" t="str">
        <f>IF(Table1[[#This Row],[h_hargasebelumdiskon]]="","",IF(Table1[[#This Row],[Column14]]="",0,Table1[[#This Row],[h_hargasebelumdiskon]]*Table1[[#This Row],[Column14]]))</f>
        <v/>
      </c>
      <c r="AA335" s="237" t="str">
        <f>IF(Table1[[#This Row],[h_hargasebelumdiskon]]="","",IF(Table1[[#This Row],[Column15]]="",0,(Table1[[#This Row],[h_hargasebelumdiskon]]-Table1[[#This Row],[h_disc 1]])*Table1[[#This Row],[Column15]]))</f>
        <v/>
      </c>
      <c r="AB335" s="237" t="str">
        <f>IF(Table1[[#This Row],[Column12]]="","",Table1[[#This Row],[h_disc 1]]+Table1[[#This Row],[h_disc 2]])</f>
        <v/>
      </c>
      <c r="AC335" s="237" t="str">
        <f>IF(Table1[[#This Row],[Column12]]="","",Table1[[#This Row],[h_hargasebelumdiskon]]-Table1[[#This Row],[h_diskon]])</f>
        <v/>
      </c>
      <c r="AD335" s="237" t="str">
        <f ca="1">IF(Table1[[#This Row],[//]]="","",SUMIF(Table1[h_id],Table1[[#This Row],[h_id]],Table1[h_hargasetelahdiskon]))</f>
        <v/>
      </c>
      <c r="AF335" s="237" t="str">
        <f>Table1[[#This Row],[Column12]]&amp;Table1[[#This Row],[Unit]]&amp;Table1[[#This Row],[Column13]]</f>
        <v/>
      </c>
      <c r="AG335"/>
      <c r="AH335"/>
      <c r="AI335"/>
    </row>
    <row r="336" spans="1:35">
      <c r="A336" s="234" t="str">
        <f ca="1">IF(Table1[[#This Row],[No. Invoice :]]="","",ROW())</f>
        <v/>
      </c>
      <c r="B336" s="234" t="str">
        <f ca="1">IF(Table1[[#This Row],[Column3]]="","",B$1+COUNT(INDIRECT("B$2:B"&amp;ROW()-1)))</f>
        <v/>
      </c>
      <c r="C336" s="235" t="str">
        <f>IF(Table1[[#This Row],[Column2]]="","",Table1[[#This Row],[Column2]]+C$1-1)</f>
        <v/>
      </c>
      <c r="E336" s="236"/>
      <c r="F336" s="234"/>
      <c r="G336" s="234" t="str">
        <f ca="1">IF(Table1[[#This Row],[h_No. Invoice :]]="","",CONCATENATE("AM"," ",Table1[[#This Row],[h_No. Invoice :]]))</f>
        <v/>
      </c>
      <c r="H336" s="234" t="str">
        <f>IF(Table1[[#This Row],[Column5]]="","",INDEX(Table2[Column1],MATCH(Table1[[#This Row],[Column5]],Table2[a],0)))</f>
        <v/>
      </c>
      <c r="I336" s="234" t="str">
        <f>IF(Table1[[#This Row],[Column3]]=0,"",CONCATENATE(UPPER(Table1[[#This Row],[Column3]])," ",Table1[[#This Row],[Column4]]))</f>
        <v xml:space="preserve"> </v>
      </c>
      <c r="J336" s="234" t="str">
        <f>IF(Table1[[#This Row],[Column5]]="","",INDEX(Table2[e],IF(Table1[[#This Row],[Column5]]="","",MATCH(Table1[[#This Row],[Column5]],Table2[a],0)),))</f>
        <v/>
      </c>
      <c r="K336" s="234"/>
      <c r="L336" s="234"/>
      <c r="O336" s="234" t="str">
        <f>IF(Table1[[#This Row],[h_Item Description]]="","",INDEX([1]!db[NB PAJAK],MATCH(Table1[[#This Row],[h_Item Description]],[1]!db[kode],0)))</f>
        <v/>
      </c>
      <c r="Q336" s="237"/>
      <c r="R336" s="238"/>
      <c r="S336" s="238"/>
      <c r="T336" s="237" t="str">
        <f>Table1[[#This Row],[h_hargasetelahdiskon]]</f>
        <v/>
      </c>
      <c r="V336" s="234"/>
      <c r="W336" s="234" t="str">
        <f ca="1">IF(Table1[[#This Row],[Column12]]="","",IF(Table1[[#This Row],[//]]="",INDIRECT(ADDRESS(ROW()-1,COLUMN())),Table1[[#This Row],[//]]))</f>
        <v/>
      </c>
      <c r="X336" s="234" t="str">
        <f ca="1">IF(Table1[[#This Row],[h_id]]="","",COUNTIF(Table1[h_id],Table1[[#This Row],[h_id]]))</f>
        <v/>
      </c>
      <c r="Y336" s="237" t="str">
        <f>IF(Table1[[#This Row],[Column12]]="","",Table1[[#This Row],[Qty]]*Table1[[#This Row],[Column13]])</f>
        <v/>
      </c>
      <c r="Z336" s="237" t="str">
        <f>IF(Table1[[#This Row],[h_hargasebelumdiskon]]="","",IF(Table1[[#This Row],[Column14]]="",0,Table1[[#This Row],[h_hargasebelumdiskon]]*Table1[[#This Row],[Column14]]))</f>
        <v/>
      </c>
      <c r="AA336" s="237" t="str">
        <f>IF(Table1[[#This Row],[h_hargasebelumdiskon]]="","",IF(Table1[[#This Row],[Column15]]="",0,(Table1[[#This Row],[h_hargasebelumdiskon]]-Table1[[#This Row],[h_disc 1]])*Table1[[#This Row],[Column15]]))</f>
        <v/>
      </c>
      <c r="AB336" s="237" t="str">
        <f>IF(Table1[[#This Row],[Column12]]="","",Table1[[#This Row],[h_disc 1]]+Table1[[#This Row],[h_disc 2]])</f>
        <v/>
      </c>
      <c r="AC336" s="237" t="str">
        <f>IF(Table1[[#This Row],[Column12]]="","",Table1[[#This Row],[h_hargasebelumdiskon]]-Table1[[#This Row],[h_diskon]])</f>
        <v/>
      </c>
      <c r="AD336" s="237" t="str">
        <f ca="1">IF(Table1[[#This Row],[//]]="","",SUMIF(Table1[h_id],Table1[[#This Row],[h_id]],Table1[h_hargasetelahdiskon]))</f>
        <v/>
      </c>
      <c r="AF336" s="237" t="str">
        <f>Table1[[#This Row],[Column12]]&amp;Table1[[#This Row],[Unit]]&amp;Table1[[#This Row],[Column13]]</f>
        <v/>
      </c>
      <c r="AG336"/>
      <c r="AH336"/>
      <c r="AI336"/>
    </row>
    <row r="337" spans="1:35">
      <c r="A337" s="234" t="str">
        <f ca="1">IF(Table1[[#This Row],[No. Invoice :]]="","",ROW())</f>
        <v/>
      </c>
      <c r="B337" s="234" t="str">
        <f ca="1">IF(Table1[[#This Row],[Column3]]="","",B$1+COUNT(INDIRECT("B$2:B"&amp;ROW()-1)))</f>
        <v/>
      </c>
      <c r="C337" s="235" t="str">
        <f>IF(Table1[[#This Row],[Column2]]="","",Table1[[#This Row],[Column2]]+C$1-1)</f>
        <v/>
      </c>
      <c r="E337" s="236"/>
      <c r="F337" s="234"/>
      <c r="G337" s="234" t="str">
        <f ca="1">IF(Table1[[#This Row],[h_No. Invoice :]]="","",CONCATENATE("AM"," ",Table1[[#This Row],[h_No. Invoice :]]))</f>
        <v/>
      </c>
      <c r="H337" s="234" t="str">
        <f>IF(Table1[[#This Row],[Column5]]="","",INDEX(Table2[Column1],MATCH(Table1[[#This Row],[Column5]],Table2[a],0)))</f>
        <v/>
      </c>
      <c r="I337" s="234" t="str">
        <f>IF(Table1[[#This Row],[Column3]]=0,"",CONCATENATE(UPPER(Table1[[#This Row],[Column3]])," ",Table1[[#This Row],[Column4]]))</f>
        <v xml:space="preserve"> </v>
      </c>
      <c r="J337" s="234" t="str">
        <f>IF(Table1[[#This Row],[Column5]]="","",INDEX(Table2[e],IF(Table1[[#This Row],[Column5]]="","",MATCH(Table1[[#This Row],[Column5]],Table2[a],0)),))</f>
        <v/>
      </c>
      <c r="K337" s="234"/>
      <c r="L337" s="234"/>
      <c r="O337" s="234" t="str">
        <f>IF(Table1[[#This Row],[h_Item Description]]="","",INDEX([1]!db[NB PAJAK],MATCH(Table1[[#This Row],[h_Item Description]],[1]!db[kode],0)))</f>
        <v/>
      </c>
      <c r="Q337" s="237"/>
      <c r="R337" s="238"/>
      <c r="S337" s="238"/>
      <c r="T337" s="237" t="str">
        <f>Table1[[#This Row],[h_hargasetelahdiskon]]</f>
        <v/>
      </c>
      <c r="V337" s="234"/>
      <c r="W337" s="234" t="str">
        <f ca="1">IF(Table1[[#This Row],[Column12]]="","",IF(Table1[[#This Row],[//]]="",INDIRECT(ADDRESS(ROW()-1,COLUMN())),Table1[[#This Row],[//]]))</f>
        <v/>
      </c>
      <c r="X337" s="234" t="str">
        <f ca="1">IF(Table1[[#This Row],[h_id]]="","",COUNTIF(Table1[h_id],Table1[[#This Row],[h_id]]))</f>
        <v/>
      </c>
      <c r="Y337" s="237" t="str">
        <f>IF(Table1[[#This Row],[Column12]]="","",Table1[[#This Row],[Qty]]*Table1[[#This Row],[Column13]])</f>
        <v/>
      </c>
      <c r="Z337" s="237" t="str">
        <f>IF(Table1[[#This Row],[h_hargasebelumdiskon]]="","",IF(Table1[[#This Row],[Column14]]="",0,Table1[[#This Row],[h_hargasebelumdiskon]]*Table1[[#This Row],[Column14]]))</f>
        <v/>
      </c>
      <c r="AA337" s="237" t="str">
        <f>IF(Table1[[#This Row],[h_hargasebelumdiskon]]="","",IF(Table1[[#This Row],[Column15]]="",0,(Table1[[#This Row],[h_hargasebelumdiskon]]-Table1[[#This Row],[h_disc 1]])*Table1[[#This Row],[Column15]]))</f>
        <v/>
      </c>
      <c r="AB337" s="237" t="str">
        <f>IF(Table1[[#This Row],[Column12]]="","",Table1[[#This Row],[h_disc 1]]+Table1[[#This Row],[h_disc 2]])</f>
        <v/>
      </c>
      <c r="AC337" s="237" t="str">
        <f>IF(Table1[[#This Row],[Column12]]="","",Table1[[#This Row],[h_hargasebelumdiskon]]-Table1[[#This Row],[h_diskon]])</f>
        <v/>
      </c>
      <c r="AD337" s="237" t="str">
        <f ca="1">IF(Table1[[#This Row],[//]]="","",SUMIF(Table1[h_id],Table1[[#This Row],[h_id]],Table1[h_hargasetelahdiskon]))</f>
        <v/>
      </c>
      <c r="AF337" s="237" t="str">
        <f>Table1[[#This Row],[Column12]]&amp;Table1[[#This Row],[Unit]]&amp;Table1[[#This Row],[Column13]]</f>
        <v/>
      </c>
      <c r="AG337"/>
      <c r="AH337"/>
      <c r="AI337"/>
    </row>
    <row r="338" spans="1:35">
      <c r="A338" s="234" t="str">
        <f ca="1">IF(Table1[[#This Row],[No. Invoice :]]="","",ROW())</f>
        <v/>
      </c>
      <c r="B338" s="234" t="str">
        <f ca="1">IF(Table1[[#This Row],[Column3]]="","",B$1+COUNT(INDIRECT("B$2:B"&amp;ROW()-1)))</f>
        <v/>
      </c>
      <c r="C338" s="235" t="str">
        <f>IF(Table1[[#This Row],[Column2]]="","",Table1[[#This Row],[Column2]]+C$1-1)</f>
        <v/>
      </c>
      <c r="E338" s="236"/>
      <c r="F338" s="234"/>
      <c r="G338" s="234" t="str">
        <f ca="1">IF(Table1[[#This Row],[h_No. Invoice :]]="","",CONCATENATE("AM"," ",Table1[[#This Row],[h_No. Invoice :]]))</f>
        <v/>
      </c>
      <c r="H338" s="234" t="str">
        <f>IF(Table1[[#This Row],[Column5]]="","",INDEX(Table2[Column1],MATCH(Table1[[#This Row],[Column5]],Table2[a],0)))</f>
        <v/>
      </c>
      <c r="I338" s="234" t="str">
        <f>IF(Table1[[#This Row],[Column3]]=0,"",CONCATENATE(UPPER(Table1[[#This Row],[Column3]])," ",Table1[[#This Row],[Column4]]))</f>
        <v xml:space="preserve"> </v>
      </c>
      <c r="J338" s="234" t="str">
        <f>IF(Table1[[#This Row],[Column5]]="","",INDEX(Table2[e],IF(Table1[[#This Row],[Column5]]="","",MATCH(Table1[[#This Row],[Column5]],Table2[a],0)),))</f>
        <v/>
      </c>
      <c r="K338" s="234"/>
      <c r="L338" s="234"/>
      <c r="O338" s="234" t="str">
        <f>IF(Table1[[#This Row],[h_Item Description]]="","",INDEX([1]!db[NB PAJAK],MATCH(Table1[[#This Row],[h_Item Description]],[1]!db[kode],0)))</f>
        <v/>
      </c>
      <c r="Q338" s="237"/>
      <c r="R338" s="238"/>
      <c r="S338" s="238"/>
      <c r="T338" s="237" t="str">
        <f>Table1[[#This Row],[h_hargasetelahdiskon]]</f>
        <v/>
      </c>
      <c r="V338" s="234"/>
      <c r="W338" s="234" t="str">
        <f ca="1">IF(Table1[[#This Row],[Column12]]="","",IF(Table1[[#This Row],[//]]="",INDIRECT(ADDRESS(ROW()-1,COLUMN())),Table1[[#This Row],[//]]))</f>
        <v/>
      </c>
      <c r="X338" s="234" t="str">
        <f ca="1">IF(Table1[[#This Row],[h_id]]="","",COUNTIF(Table1[h_id],Table1[[#This Row],[h_id]]))</f>
        <v/>
      </c>
      <c r="Y338" s="237" t="str">
        <f>IF(Table1[[#This Row],[Column12]]="","",Table1[[#This Row],[Qty]]*Table1[[#This Row],[Column13]])</f>
        <v/>
      </c>
      <c r="Z338" s="237" t="str">
        <f>IF(Table1[[#This Row],[h_hargasebelumdiskon]]="","",IF(Table1[[#This Row],[Column14]]="",0,Table1[[#This Row],[h_hargasebelumdiskon]]*Table1[[#This Row],[Column14]]))</f>
        <v/>
      </c>
      <c r="AA338" s="237" t="str">
        <f>IF(Table1[[#This Row],[h_hargasebelumdiskon]]="","",IF(Table1[[#This Row],[Column15]]="",0,(Table1[[#This Row],[h_hargasebelumdiskon]]-Table1[[#This Row],[h_disc 1]])*Table1[[#This Row],[Column15]]))</f>
        <v/>
      </c>
      <c r="AB338" s="237" t="str">
        <f>IF(Table1[[#This Row],[Column12]]="","",Table1[[#This Row],[h_disc 1]]+Table1[[#This Row],[h_disc 2]])</f>
        <v/>
      </c>
      <c r="AC338" s="237" t="str">
        <f>IF(Table1[[#This Row],[Column12]]="","",Table1[[#This Row],[h_hargasebelumdiskon]]-Table1[[#This Row],[h_diskon]])</f>
        <v/>
      </c>
      <c r="AD338" s="237" t="str">
        <f ca="1">IF(Table1[[#This Row],[//]]="","",SUMIF(Table1[h_id],Table1[[#This Row],[h_id]],Table1[h_hargasetelahdiskon]))</f>
        <v/>
      </c>
      <c r="AF338" s="237" t="str">
        <f>Table1[[#This Row],[Column12]]&amp;Table1[[#This Row],[Unit]]&amp;Table1[[#This Row],[Column13]]</f>
        <v/>
      </c>
      <c r="AG338"/>
      <c r="AH338"/>
      <c r="AI338"/>
    </row>
    <row r="339" spans="1:35">
      <c r="A339" s="234" t="str">
        <f ca="1">IF(Table1[[#This Row],[No. Invoice :]]="","",ROW())</f>
        <v/>
      </c>
      <c r="B339" s="234" t="str">
        <f ca="1">IF(Table1[[#This Row],[Column3]]="","",B$1+COUNT(INDIRECT("B$2:B"&amp;ROW()-1)))</f>
        <v/>
      </c>
      <c r="C339" s="235" t="str">
        <f>IF(Table1[[#This Row],[Column2]]="","",Table1[[#This Row],[Column2]]+C$1-1)</f>
        <v/>
      </c>
      <c r="E339" s="236"/>
      <c r="F339" s="234"/>
      <c r="G339" s="234" t="str">
        <f ca="1">IF(Table1[[#This Row],[h_No. Invoice :]]="","",CONCATENATE("AM"," ",Table1[[#This Row],[h_No. Invoice :]]))</f>
        <v/>
      </c>
      <c r="H339" s="234" t="str">
        <f>IF(Table1[[#This Row],[Column5]]="","",INDEX(Table2[Column1],MATCH(Table1[[#This Row],[Column5]],Table2[a],0)))</f>
        <v/>
      </c>
      <c r="I339" s="234" t="str">
        <f>IF(Table1[[#This Row],[Column3]]=0,"",CONCATENATE(UPPER(Table1[[#This Row],[Column3]])," ",Table1[[#This Row],[Column4]]))</f>
        <v xml:space="preserve"> </v>
      </c>
      <c r="J339" s="234" t="str">
        <f>IF(Table1[[#This Row],[Column5]]="","",INDEX(Table2[e],IF(Table1[[#This Row],[Column5]]="","",MATCH(Table1[[#This Row],[Column5]],Table2[a],0)),))</f>
        <v/>
      </c>
      <c r="K339" s="234"/>
      <c r="L339" s="234"/>
      <c r="O339" s="234" t="str">
        <f>IF(Table1[[#This Row],[h_Item Description]]="","",INDEX([1]!db[NB PAJAK],MATCH(Table1[[#This Row],[h_Item Description]],[1]!db[kode],0)))</f>
        <v/>
      </c>
      <c r="Q339" s="237"/>
      <c r="R339" s="238"/>
      <c r="S339" s="238"/>
      <c r="T339" s="237" t="str">
        <f>Table1[[#This Row],[h_hargasetelahdiskon]]</f>
        <v/>
      </c>
      <c r="V339" s="234"/>
      <c r="W339" s="234" t="str">
        <f ca="1">IF(Table1[[#This Row],[Column12]]="","",IF(Table1[[#This Row],[//]]="",INDIRECT(ADDRESS(ROW()-1,COLUMN())),Table1[[#This Row],[//]]))</f>
        <v/>
      </c>
      <c r="X339" s="234" t="str">
        <f ca="1">IF(Table1[[#This Row],[h_id]]="","",COUNTIF(Table1[h_id],Table1[[#This Row],[h_id]]))</f>
        <v/>
      </c>
      <c r="Y339" s="237" t="str">
        <f>IF(Table1[[#This Row],[Column12]]="","",Table1[[#This Row],[Qty]]*Table1[[#This Row],[Column13]])</f>
        <v/>
      </c>
      <c r="Z339" s="237" t="str">
        <f>IF(Table1[[#This Row],[h_hargasebelumdiskon]]="","",IF(Table1[[#This Row],[Column14]]="",0,Table1[[#This Row],[h_hargasebelumdiskon]]*Table1[[#This Row],[Column14]]))</f>
        <v/>
      </c>
      <c r="AA339" s="237" t="str">
        <f>IF(Table1[[#This Row],[h_hargasebelumdiskon]]="","",IF(Table1[[#This Row],[Column15]]="",0,(Table1[[#This Row],[h_hargasebelumdiskon]]-Table1[[#This Row],[h_disc 1]])*Table1[[#This Row],[Column15]]))</f>
        <v/>
      </c>
      <c r="AB339" s="237" t="str">
        <f>IF(Table1[[#This Row],[Column12]]="","",Table1[[#This Row],[h_disc 1]]+Table1[[#This Row],[h_disc 2]])</f>
        <v/>
      </c>
      <c r="AC339" s="237" t="str">
        <f>IF(Table1[[#This Row],[Column12]]="","",Table1[[#This Row],[h_hargasebelumdiskon]]-Table1[[#This Row],[h_diskon]])</f>
        <v/>
      </c>
      <c r="AD339" s="237" t="str">
        <f ca="1">IF(Table1[[#This Row],[//]]="","",SUMIF(Table1[h_id],Table1[[#This Row],[h_id]],Table1[h_hargasetelahdiskon]))</f>
        <v/>
      </c>
      <c r="AF339" s="237" t="str">
        <f>Table1[[#This Row],[Column12]]&amp;Table1[[#This Row],[Unit]]&amp;Table1[[#This Row],[Column13]]</f>
        <v/>
      </c>
      <c r="AG339"/>
      <c r="AH339"/>
      <c r="AI339"/>
    </row>
    <row r="340" spans="1:35">
      <c r="A340" s="234" t="str">
        <f ca="1">IF(Table1[[#This Row],[No. Invoice :]]="","",ROW())</f>
        <v/>
      </c>
      <c r="B340" s="234" t="str">
        <f ca="1">IF(Table1[[#This Row],[Column3]]="","",B$1+COUNT(INDIRECT("B$2:B"&amp;ROW()-1)))</f>
        <v/>
      </c>
      <c r="C340" s="235" t="str">
        <f>IF(Table1[[#This Row],[Column2]]="","",Table1[[#This Row],[Column2]]+C$1-1)</f>
        <v/>
      </c>
      <c r="E340" s="236"/>
      <c r="F340" s="234"/>
      <c r="G340" s="234" t="str">
        <f ca="1">IF(Table1[[#This Row],[h_No. Invoice :]]="","",CONCATENATE("AM"," ",Table1[[#This Row],[h_No. Invoice :]]))</f>
        <v/>
      </c>
      <c r="H340" s="234" t="str">
        <f>IF(Table1[[#This Row],[Column5]]="","",INDEX(Table2[Column1],MATCH(Table1[[#This Row],[Column5]],Table2[a],0)))</f>
        <v/>
      </c>
      <c r="I340" s="234" t="str">
        <f>IF(Table1[[#This Row],[Column3]]=0,"",CONCATENATE(UPPER(Table1[[#This Row],[Column3]])," ",Table1[[#This Row],[Column4]]))</f>
        <v xml:space="preserve"> </v>
      </c>
      <c r="J340" s="234" t="str">
        <f>IF(Table1[[#This Row],[Column5]]="","",INDEX(Table2[e],IF(Table1[[#This Row],[Column5]]="","",MATCH(Table1[[#This Row],[Column5]],Table2[a],0)),))</f>
        <v/>
      </c>
      <c r="K340" s="234"/>
      <c r="L340" s="234"/>
      <c r="O340" s="234" t="str">
        <f>IF(Table1[[#This Row],[h_Item Description]]="","",INDEX([1]!db[NB PAJAK],MATCH(Table1[[#This Row],[h_Item Description]],[1]!db[kode],0)))</f>
        <v/>
      </c>
      <c r="Q340" s="237"/>
      <c r="R340" s="238"/>
      <c r="S340" s="238"/>
      <c r="T340" s="237" t="str">
        <f>Table1[[#This Row],[h_hargasetelahdiskon]]</f>
        <v/>
      </c>
      <c r="V340" s="234"/>
      <c r="W340" s="234" t="str">
        <f ca="1">IF(Table1[[#This Row],[Column12]]="","",IF(Table1[[#This Row],[//]]="",INDIRECT(ADDRESS(ROW()-1,COLUMN())),Table1[[#This Row],[//]]))</f>
        <v/>
      </c>
      <c r="X340" s="234" t="str">
        <f ca="1">IF(Table1[[#This Row],[h_id]]="","",COUNTIF(Table1[h_id],Table1[[#This Row],[h_id]]))</f>
        <v/>
      </c>
      <c r="Y340" s="237" t="str">
        <f>IF(Table1[[#This Row],[Column12]]="","",Table1[[#This Row],[Qty]]*Table1[[#This Row],[Column13]])</f>
        <v/>
      </c>
      <c r="Z340" s="237" t="str">
        <f>IF(Table1[[#This Row],[h_hargasebelumdiskon]]="","",IF(Table1[[#This Row],[Column14]]="",0,Table1[[#This Row],[h_hargasebelumdiskon]]*Table1[[#This Row],[Column14]]))</f>
        <v/>
      </c>
      <c r="AA340" s="237" t="str">
        <f>IF(Table1[[#This Row],[h_hargasebelumdiskon]]="","",IF(Table1[[#This Row],[Column15]]="",0,(Table1[[#This Row],[h_hargasebelumdiskon]]-Table1[[#This Row],[h_disc 1]])*Table1[[#This Row],[Column15]]))</f>
        <v/>
      </c>
      <c r="AB340" s="237" t="str">
        <f>IF(Table1[[#This Row],[Column12]]="","",Table1[[#This Row],[h_disc 1]]+Table1[[#This Row],[h_disc 2]])</f>
        <v/>
      </c>
      <c r="AC340" s="237" t="str">
        <f>IF(Table1[[#This Row],[Column12]]="","",Table1[[#This Row],[h_hargasebelumdiskon]]-Table1[[#This Row],[h_diskon]])</f>
        <v/>
      </c>
      <c r="AD340" s="237" t="str">
        <f ca="1">IF(Table1[[#This Row],[//]]="","",SUMIF(Table1[h_id],Table1[[#This Row],[h_id]],Table1[h_hargasetelahdiskon]))</f>
        <v/>
      </c>
      <c r="AF340" s="237" t="str">
        <f>Table1[[#This Row],[Column12]]&amp;Table1[[#This Row],[Unit]]&amp;Table1[[#This Row],[Column13]]</f>
        <v/>
      </c>
      <c r="AG340"/>
      <c r="AH340"/>
      <c r="AI340"/>
    </row>
    <row r="341" spans="1:35">
      <c r="A341" s="234" t="str">
        <f ca="1">IF(Table1[[#This Row],[No. Invoice :]]="","",ROW())</f>
        <v/>
      </c>
      <c r="B341" s="234" t="str">
        <f ca="1">IF(Table1[[#This Row],[Column3]]="","",B$1+COUNT(INDIRECT("B$2:B"&amp;ROW()-1)))</f>
        <v/>
      </c>
      <c r="C341" s="235" t="str">
        <f>IF(Table1[[#This Row],[Column2]]="","",Table1[[#This Row],[Column2]]+C$1-1)</f>
        <v/>
      </c>
      <c r="E341" s="236"/>
      <c r="F341" s="234"/>
      <c r="G341" s="234" t="str">
        <f ca="1">IF(Table1[[#This Row],[h_No. Invoice :]]="","",CONCATENATE("AM"," ",Table1[[#This Row],[h_No. Invoice :]]))</f>
        <v/>
      </c>
      <c r="H341" s="234" t="str">
        <f>IF(Table1[[#This Row],[Column5]]="","",INDEX(Table2[Column1],MATCH(Table1[[#This Row],[Column5]],Table2[a],0)))</f>
        <v/>
      </c>
      <c r="I341" s="234" t="str">
        <f>IF(Table1[[#This Row],[Column3]]=0,"",CONCATENATE(UPPER(Table1[[#This Row],[Column3]])," ",Table1[[#This Row],[Column4]]))</f>
        <v xml:space="preserve"> </v>
      </c>
      <c r="J341" s="234" t="str">
        <f>IF(Table1[[#This Row],[Column5]]="","",INDEX(Table2[e],IF(Table1[[#This Row],[Column5]]="","",MATCH(Table1[[#This Row],[Column5]],Table2[a],0)),))</f>
        <v/>
      </c>
      <c r="K341" s="234"/>
      <c r="L341" s="234"/>
      <c r="O341" s="234" t="str">
        <f>IF(Table1[[#This Row],[h_Item Description]]="","",INDEX([1]!db[NB PAJAK],MATCH(Table1[[#This Row],[h_Item Description]],[1]!db[kode],0)))</f>
        <v/>
      </c>
      <c r="Q341" s="237"/>
      <c r="R341" s="238"/>
      <c r="S341" s="238"/>
      <c r="T341" s="237" t="str">
        <f>Table1[[#This Row],[h_hargasetelahdiskon]]</f>
        <v/>
      </c>
      <c r="V341" s="234"/>
      <c r="W341" s="234" t="str">
        <f ca="1">IF(Table1[[#This Row],[Column12]]="","",IF(Table1[[#This Row],[//]]="",INDIRECT(ADDRESS(ROW()-1,COLUMN())),Table1[[#This Row],[//]]))</f>
        <v/>
      </c>
      <c r="X341" s="234" t="str">
        <f ca="1">IF(Table1[[#This Row],[h_id]]="","",COUNTIF(Table1[h_id],Table1[[#This Row],[h_id]]))</f>
        <v/>
      </c>
      <c r="Y341" s="237" t="str">
        <f>IF(Table1[[#This Row],[Column12]]="","",Table1[[#This Row],[Qty]]*Table1[[#This Row],[Column13]])</f>
        <v/>
      </c>
      <c r="Z341" s="237" t="str">
        <f>IF(Table1[[#This Row],[h_hargasebelumdiskon]]="","",IF(Table1[[#This Row],[Column14]]="",0,Table1[[#This Row],[h_hargasebelumdiskon]]*Table1[[#This Row],[Column14]]))</f>
        <v/>
      </c>
      <c r="AA341" s="237" t="str">
        <f>IF(Table1[[#This Row],[h_hargasebelumdiskon]]="","",IF(Table1[[#This Row],[Column15]]="",0,(Table1[[#This Row],[h_hargasebelumdiskon]]-Table1[[#This Row],[h_disc 1]])*Table1[[#This Row],[Column15]]))</f>
        <v/>
      </c>
      <c r="AB341" s="237" t="str">
        <f>IF(Table1[[#This Row],[Column12]]="","",Table1[[#This Row],[h_disc 1]]+Table1[[#This Row],[h_disc 2]])</f>
        <v/>
      </c>
      <c r="AC341" s="237" t="str">
        <f>IF(Table1[[#This Row],[Column12]]="","",Table1[[#This Row],[h_hargasebelumdiskon]]-Table1[[#This Row],[h_diskon]])</f>
        <v/>
      </c>
      <c r="AD341" s="237" t="str">
        <f ca="1">IF(Table1[[#This Row],[//]]="","",SUMIF(Table1[h_id],Table1[[#This Row],[h_id]],Table1[h_hargasetelahdiskon]))</f>
        <v/>
      </c>
      <c r="AF341" s="237" t="str">
        <f>Table1[[#This Row],[Column12]]&amp;Table1[[#This Row],[Unit]]&amp;Table1[[#This Row],[Column13]]</f>
        <v/>
      </c>
      <c r="AG341"/>
      <c r="AH341"/>
      <c r="AI341"/>
    </row>
    <row r="342" spans="1:35">
      <c r="A342" s="234" t="str">
        <f ca="1">IF(Table1[[#This Row],[No. Invoice :]]="","",ROW())</f>
        <v/>
      </c>
      <c r="B342" s="234" t="str">
        <f ca="1">IF(Table1[[#This Row],[Column3]]="","",B$1+COUNT(INDIRECT("B$2:B"&amp;ROW()-1)))</f>
        <v/>
      </c>
      <c r="C342" s="235" t="str">
        <f>IF(Table1[[#This Row],[Column2]]="","",Table1[[#This Row],[Column2]]+C$1-1)</f>
        <v/>
      </c>
      <c r="E342" s="236"/>
      <c r="F342" s="234"/>
      <c r="G342" s="234" t="str">
        <f ca="1">IF(Table1[[#This Row],[h_No. Invoice :]]="","",CONCATENATE("AM"," ",Table1[[#This Row],[h_No. Invoice :]]))</f>
        <v/>
      </c>
      <c r="H342" s="234" t="str">
        <f>IF(Table1[[#This Row],[Column5]]="","",INDEX(Table2[Column1],MATCH(Table1[[#This Row],[Column5]],Table2[a],0)))</f>
        <v/>
      </c>
      <c r="I342" s="234" t="str">
        <f>IF(Table1[[#This Row],[Column3]]=0,"",CONCATENATE(UPPER(Table1[[#This Row],[Column3]])," ",Table1[[#This Row],[Column4]]))</f>
        <v xml:space="preserve"> </v>
      </c>
      <c r="J342" s="234" t="str">
        <f>IF(Table1[[#This Row],[Column5]]="","",INDEX(Table2[e],IF(Table1[[#This Row],[Column5]]="","",MATCH(Table1[[#This Row],[Column5]],Table2[a],0)),))</f>
        <v/>
      </c>
      <c r="K342" s="234"/>
      <c r="L342" s="234"/>
      <c r="O342" s="234" t="str">
        <f>IF(Table1[[#This Row],[h_Item Description]]="","",INDEX([1]!db[NB PAJAK],MATCH(Table1[[#This Row],[h_Item Description]],[1]!db[kode],0)))</f>
        <v/>
      </c>
      <c r="Q342" s="237"/>
      <c r="R342" s="238"/>
      <c r="S342" s="238"/>
      <c r="T342" s="237" t="str">
        <f>Table1[[#This Row],[h_hargasetelahdiskon]]</f>
        <v/>
      </c>
      <c r="V342" s="234"/>
      <c r="W342" s="234" t="str">
        <f ca="1">IF(Table1[[#This Row],[Column12]]="","",IF(Table1[[#This Row],[//]]="",INDIRECT(ADDRESS(ROW()-1,COLUMN())),Table1[[#This Row],[//]]))</f>
        <v/>
      </c>
      <c r="X342" s="234" t="str">
        <f ca="1">IF(Table1[[#This Row],[h_id]]="","",COUNTIF(Table1[h_id],Table1[[#This Row],[h_id]]))</f>
        <v/>
      </c>
      <c r="Y342" s="237" t="str">
        <f>IF(Table1[[#This Row],[Column12]]="","",Table1[[#This Row],[Qty]]*Table1[[#This Row],[Column13]])</f>
        <v/>
      </c>
      <c r="Z342" s="237" t="str">
        <f>IF(Table1[[#This Row],[h_hargasebelumdiskon]]="","",IF(Table1[[#This Row],[Column14]]="",0,Table1[[#This Row],[h_hargasebelumdiskon]]*Table1[[#This Row],[Column14]]))</f>
        <v/>
      </c>
      <c r="AA342" s="237" t="str">
        <f>IF(Table1[[#This Row],[h_hargasebelumdiskon]]="","",IF(Table1[[#This Row],[Column15]]="",0,(Table1[[#This Row],[h_hargasebelumdiskon]]-Table1[[#This Row],[h_disc 1]])*Table1[[#This Row],[Column15]]))</f>
        <v/>
      </c>
      <c r="AB342" s="237" t="str">
        <f>IF(Table1[[#This Row],[Column12]]="","",Table1[[#This Row],[h_disc 1]]+Table1[[#This Row],[h_disc 2]])</f>
        <v/>
      </c>
      <c r="AC342" s="237" t="str">
        <f>IF(Table1[[#This Row],[Column12]]="","",Table1[[#This Row],[h_hargasebelumdiskon]]-Table1[[#This Row],[h_diskon]])</f>
        <v/>
      </c>
      <c r="AD342" s="237" t="str">
        <f ca="1">IF(Table1[[#This Row],[//]]="","",SUMIF(Table1[h_id],Table1[[#This Row],[h_id]],Table1[h_hargasetelahdiskon]))</f>
        <v/>
      </c>
      <c r="AF342" s="237" t="str">
        <f>Table1[[#This Row],[Column12]]&amp;Table1[[#This Row],[Unit]]&amp;Table1[[#This Row],[Column13]]</f>
        <v/>
      </c>
      <c r="AG342"/>
      <c r="AH342"/>
      <c r="AI342"/>
    </row>
    <row r="343" spans="1:35">
      <c r="A343" s="234" t="str">
        <f ca="1">IF(Table1[[#This Row],[No. Invoice :]]="","",ROW())</f>
        <v/>
      </c>
      <c r="B343" s="234" t="str">
        <f ca="1">IF(Table1[[#This Row],[Column3]]="","",B$1+COUNT(INDIRECT("B$2:B"&amp;ROW()-1)))</f>
        <v/>
      </c>
      <c r="C343" s="235" t="str">
        <f>IF(Table1[[#This Row],[Column2]]="","",Table1[[#This Row],[Column2]]+C$1-1)</f>
        <v/>
      </c>
      <c r="E343" s="236"/>
      <c r="F343" s="234"/>
      <c r="G343" s="234" t="str">
        <f ca="1">IF(Table1[[#This Row],[h_No. Invoice :]]="","",CONCATENATE("AM"," ",Table1[[#This Row],[h_No. Invoice :]]))</f>
        <v/>
      </c>
      <c r="H343" s="234" t="str">
        <f>IF(Table1[[#This Row],[Column5]]="","",INDEX(Table2[Column1],MATCH(Table1[[#This Row],[Column5]],Table2[a],0)))</f>
        <v/>
      </c>
      <c r="I343" s="234" t="str">
        <f>IF(Table1[[#This Row],[Column3]]=0,"",CONCATENATE(UPPER(Table1[[#This Row],[Column3]])," ",Table1[[#This Row],[Column4]]))</f>
        <v xml:space="preserve"> </v>
      </c>
      <c r="J343" s="234" t="str">
        <f>IF(Table1[[#This Row],[Column5]]="","",INDEX(Table2[e],IF(Table1[[#This Row],[Column5]]="","",MATCH(Table1[[#This Row],[Column5]],Table2[a],0)),))</f>
        <v/>
      </c>
      <c r="K343" s="234"/>
      <c r="L343" s="234"/>
      <c r="O343" s="234" t="str">
        <f>IF(Table1[[#This Row],[h_Item Description]]="","",INDEX([1]!db[NB PAJAK],MATCH(Table1[[#This Row],[h_Item Description]],[1]!db[kode],0)))</f>
        <v/>
      </c>
      <c r="Q343" s="237"/>
      <c r="R343" s="238"/>
      <c r="S343" s="238"/>
      <c r="T343" s="237" t="str">
        <f>Table1[[#This Row],[h_hargasetelahdiskon]]</f>
        <v/>
      </c>
      <c r="V343" s="234"/>
      <c r="W343" s="234" t="str">
        <f ca="1">IF(Table1[[#This Row],[Column12]]="","",IF(Table1[[#This Row],[//]]="",INDIRECT(ADDRESS(ROW()-1,COLUMN())),Table1[[#This Row],[//]]))</f>
        <v/>
      </c>
      <c r="X343" s="234" t="str">
        <f ca="1">IF(Table1[[#This Row],[h_id]]="","",COUNTIF(Table1[h_id],Table1[[#This Row],[h_id]]))</f>
        <v/>
      </c>
      <c r="Y343" s="237" t="str">
        <f>IF(Table1[[#This Row],[Column12]]="","",Table1[[#This Row],[Qty]]*Table1[[#This Row],[Column13]])</f>
        <v/>
      </c>
      <c r="Z343" s="237" t="str">
        <f>IF(Table1[[#This Row],[h_hargasebelumdiskon]]="","",IF(Table1[[#This Row],[Column14]]="",0,Table1[[#This Row],[h_hargasebelumdiskon]]*Table1[[#This Row],[Column14]]))</f>
        <v/>
      </c>
      <c r="AA343" s="237" t="str">
        <f>IF(Table1[[#This Row],[h_hargasebelumdiskon]]="","",IF(Table1[[#This Row],[Column15]]="",0,(Table1[[#This Row],[h_hargasebelumdiskon]]-Table1[[#This Row],[h_disc 1]])*Table1[[#This Row],[Column15]]))</f>
        <v/>
      </c>
      <c r="AB343" s="237" t="str">
        <f>IF(Table1[[#This Row],[Column12]]="","",Table1[[#This Row],[h_disc 1]]+Table1[[#This Row],[h_disc 2]])</f>
        <v/>
      </c>
      <c r="AC343" s="237" t="str">
        <f>IF(Table1[[#This Row],[Column12]]="","",Table1[[#This Row],[h_hargasebelumdiskon]]-Table1[[#This Row],[h_diskon]])</f>
        <v/>
      </c>
      <c r="AD343" s="237" t="str">
        <f ca="1">IF(Table1[[#This Row],[//]]="","",SUMIF(Table1[h_id],Table1[[#This Row],[h_id]],Table1[h_hargasetelahdiskon]))</f>
        <v/>
      </c>
      <c r="AF343" s="237" t="str">
        <f>Table1[[#This Row],[Column12]]&amp;Table1[[#This Row],[Unit]]&amp;Table1[[#This Row],[Column13]]</f>
        <v/>
      </c>
      <c r="AG343"/>
      <c r="AH343"/>
      <c r="AI343"/>
    </row>
    <row r="344" spans="1:35">
      <c r="A344" s="234" t="str">
        <f ca="1">IF(Table1[[#This Row],[No. Invoice :]]="","",ROW())</f>
        <v/>
      </c>
      <c r="B344" s="234" t="str">
        <f ca="1">IF(Table1[[#This Row],[Column3]]="","",B$1+COUNT(INDIRECT("B$2:B"&amp;ROW()-1)))</f>
        <v/>
      </c>
      <c r="C344" s="235" t="str">
        <f>IF(Table1[[#This Row],[Column2]]="","",Table1[[#This Row],[Column2]]+C$1-1)</f>
        <v/>
      </c>
      <c r="E344" s="236"/>
      <c r="F344" s="234"/>
      <c r="G344" s="234" t="str">
        <f ca="1">IF(Table1[[#This Row],[h_No. Invoice :]]="","",CONCATENATE("AM"," ",Table1[[#This Row],[h_No. Invoice :]]))</f>
        <v/>
      </c>
      <c r="H344" s="234" t="str">
        <f>IF(Table1[[#This Row],[Column5]]="","",INDEX(Table2[Column1],MATCH(Table1[[#This Row],[Column5]],Table2[a],0)))</f>
        <v/>
      </c>
      <c r="I344" s="234" t="str">
        <f>IF(Table1[[#This Row],[Column3]]=0,"",CONCATENATE(UPPER(Table1[[#This Row],[Column3]])," ",Table1[[#This Row],[Column4]]))</f>
        <v xml:space="preserve"> </v>
      </c>
      <c r="J344" s="234" t="str">
        <f>IF(Table1[[#This Row],[Column5]]="","",INDEX(Table2[e],IF(Table1[[#This Row],[Column5]]="","",MATCH(Table1[[#This Row],[Column5]],Table2[a],0)),))</f>
        <v/>
      </c>
      <c r="K344" s="234"/>
      <c r="L344" s="234"/>
      <c r="O344" s="234" t="str">
        <f>IF(Table1[[#This Row],[h_Item Description]]="","",INDEX([1]!db[NB PAJAK],MATCH(Table1[[#This Row],[h_Item Description]],[1]!db[kode],0)))</f>
        <v/>
      </c>
      <c r="Q344" s="237"/>
      <c r="R344" s="238"/>
      <c r="S344" s="238"/>
      <c r="T344" s="237" t="str">
        <f>Table1[[#This Row],[h_hargasetelahdiskon]]</f>
        <v/>
      </c>
      <c r="V344" s="234"/>
      <c r="W344" s="234" t="str">
        <f ca="1">IF(Table1[[#This Row],[Column12]]="","",IF(Table1[[#This Row],[//]]="",INDIRECT(ADDRESS(ROW()-1,COLUMN())),Table1[[#This Row],[//]]))</f>
        <v/>
      </c>
      <c r="X344" s="234" t="str">
        <f ca="1">IF(Table1[[#This Row],[h_id]]="","",COUNTIF(Table1[h_id],Table1[[#This Row],[h_id]]))</f>
        <v/>
      </c>
      <c r="Y344" s="237" t="str">
        <f>IF(Table1[[#This Row],[Column12]]="","",Table1[[#This Row],[Qty]]*Table1[[#This Row],[Column13]])</f>
        <v/>
      </c>
      <c r="Z344" s="237" t="str">
        <f>IF(Table1[[#This Row],[h_hargasebelumdiskon]]="","",IF(Table1[[#This Row],[Column14]]="",0,Table1[[#This Row],[h_hargasebelumdiskon]]*Table1[[#This Row],[Column14]]))</f>
        <v/>
      </c>
      <c r="AA344" s="237" t="str">
        <f>IF(Table1[[#This Row],[h_hargasebelumdiskon]]="","",IF(Table1[[#This Row],[Column15]]="",0,(Table1[[#This Row],[h_hargasebelumdiskon]]-Table1[[#This Row],[h_disc 1]])*Table1[[#This Row],[Column15]]))</f>
        <v/>
      </c>
      <c r="AB344" s="237" t="str">
        <f>IF(Table1[[#This Row],[Column12]]="","",Table1[[#This Row],[h_disc 1]]+Table1[[#This Row],[h_disc 2]])</f>
        <v/>
      </c>
      <c r="AC344" s="237" t="str">
        <f>IF(Table1[[#This Row],[Column12]]="","",Table1[[#This Row],[h_hargasebelumdiskon]]-Table1[[#This Row],[h_diskon]])</f>
        <v/>
      </c>
      <c r="AD344" s="237" t="str">
        <f ca="1">IF(Table1[[#This Row],[//]]="","",SUMIF(Table1[h_id],Table1[[#This Row],[h_id]],Table1[h_hargasetelahdiskon]))</f>
        <v/>
      </c>
      <c r="AF344" s="237" t="str">
        <f>Table1[[#This Row],[Column12]]&amp;Table1[[#This Row],[Unit]]&amp;Table1[[#This Row],[Column13]]</f>
        <v/>
      </c>
      <c r="AG344"/>
      <c r="AH344"/>
      <c r="AI344"/>
    </row>
    <row r="345" spans="1:35">
      <c r="A345" s="234" t="str">
        <f ca="1">IF(Table1[[#This Row],[No. Invoice :]]="","",ROW())</f>
        <v/>
      </c>
      <c r="B345" s="234" t="str">
        <f ca="1">IF(Table1[[#This Row],[Column3]]="","",B$1+COUNT(INDIRECT("B$2:B"&amp;ROW()-1)))</f>
        <v/>
      </c>
      <c r="C345" s="235" t="str">
        <f>IF(Table1[[#This Row],[Column2]]="","",Table1[[#This Row],[Column2]]+C$1-1)</f>
        <v/>
      </c>
      <c r="E345" s="236"/>
      <c r="F345" s="234"/>
      <c r="G345" s="234" t="str">
        <f ca="1">IF(Table1[[#This Row],[h_No. Invoice :]]="","",CONCATENATE("AM"," ",Table1[[#This Row],[h_No. Invoice :]]))</f>
        <v/>
      </c>
      <c r="H345" s="234" t="str">
        <f>IF(Table1[[#This Row],[Column5]]="","",INDEX(Table2[Column1],MATCH(Table1[[#This Row],[Column5]],Table2[a],0)))</f>
        <v/>
      </c>
      <c r="I345" s="234" t="str">
        <f>IF(Table1[[#This Row],[Column3]]=0,"",CONCATENATE(UPPER(Table1[[#This Row],[Column3]])," ",Table1[[#This Row],[Column4]]))</f>
        <v xml:space="preserve"> </v>
      </c>
      <c r="J345" s="234" t="str">
        <f>IF(Table1[[#This Row],[Column5]]="","",INDEX(Table2[e],IF(Table1[[#This Row],[Column5]]="","",MATCH(Table1[[#This Row],[Column5]],Table2[a],0)),))</f>
        <v/>
      </c>
      <c r="K345" s="234"/>
      <c r="L345" s="234"/>
      <c r="O345" s="234" t="str">
        <f>IF(Table1[[#This Row],[h_Item Description]]="","",INDEX([1]!db[NB PAJAK],MATCH(Table1[[#This Row],[h_Item Description]],[1]!db[kode],0)))</f>
        <v/>
      </c>
      <c r="Q345" s="237"/>
      <c r="R345" s="238"/>
      <c r="S345" s="238"/>
      <c r="T345" s="237" t="str">
        <f>Table1[[#This Row],[h_hargasetelahdiskon]]</f>
        <v/>
      </c>
      <c r="V345" s="234"/>
      <c r="W345" s="234" t="str">
        <f ca="1">IF(Table1[[#This Row],[Column12]]="","",IF(Table1[[#This Row],[//]]="",INDIRECT(ADDRESS(ROW()-1,COLUMN())),Table1[[#This Row],[//]]))</f>
        <v/>
      </c>
      <c r="X345" s="234" t="str">
        <f ca="1">IF(Table1[[#This Row],[h_id]]="","",COUNTIF(Table1[h_id],Table1[[#This Row],[h_id]]))</f>
        <v/>
      </c>
      <c r="Y345" s="237" t="str">
        <f>IF(Table1[[#This Row],[Column12]]="","",Table1[[#This Row],[Qty]]*Table1[[#This Row],[Column13]])</f>
        <v/>
      </c>
      <c r="Z345" s="237" t="str">
        <f>IF(Table1[[#This Row],[h_hargasebelumdiskon]]="","",IF(Table1[[#This Row],[Column14]]="",0,Table1[[#This Row],[h_hargasebelumdiskon]]*Table1[[#This Row],[Column14]]))</f>
        <v/>
      </c>
      <c r="AA345" s="237" t="str">
        <f>IF(Table1[[#This Row],[h_hargasebelumdiskon]]="","",IF(Table1[[#This Row],[Column15]]="",0,(Table1[[#This Row],[h_hargasebelumdiskon]]-Table1[[#This Row],[h_disc 1]])*Table1[[#This Row],[Column15]]))</f>
        <v/>
      </c>
      <c r="AB345" s="237" t="str">
        <f>IF(Table1[[#This Row],[Column12]]="","",Table1[[#This Row],[h_disc 1]]+Table1[[#This Row],[h_disc 2]])</f>
        <v/>
      </c>
      <c r="AC345" s="237" t="str">
        <f>IF(Table1[[#This Row],[Column12]]="","",Table1[[#This Row],[h_hargasebelumdiskon]]-Table1[[#This Row],[h_diskon]])</f>
        <v/>
      </c>
      <c r="AD345" s="237" t="str">
        <f ca="1">IF(Table1[[#This Row],[//]]="","",SUMIF(Table1[h_id],Table1[[#This Row],[h_id]],Table1[h_hargasetelahdiskon]))</f>
        <v/>
      </c>
      <c r="AF345" s="237" t="str">
        <f>Table1[[#This Row],[Column12]]&amp;Table1[[#This Row],[Unit]]&amp;Table1[[#This Row],[Column13]]</f>
        <v/>
      </c>
      <c r="AG345"/>
      <c r="AH345"/>
      <c r="AI345"/>
    </row>
    <row r="346" spans="1:35">
      <c r="A346" s="234" t="str">
        <f ca="1">IF(Table1[[#This Row],[No. Invoice :]]="","",ROW())</f>
        <v/>
      </c>
      <c r="B346" s="234" t="str">
        <f ca="1">IF(Table1[[#This Row],[Column3]]="","",B$1+COUNT(INDIRECT("B$2:B"&amp;ROW()-1)))</f>
        <v/>
      </c>
      <c r="C346" s="235" t="str">
        <f>IF(Table1[[#This Row],[Column2]]="","",Table1[[#This Row],[Column2]]+C$1-1)</f>
        <v/>
      </c>
      <c r="E346" s="236"/>
      <c r="F346" s="234"/>
      <c r="G346" s="234" t="str">
        <f ca="1">IF(Table1[[#This Row],[h_No. Invoice :]]="","",CONCATENATE("AM"," ",Table1[[#This Row],[h_No. Invoice :]]))</f>
        <v/>
      </c>
      <c r="H346" s="234" t="str">
        <f>IF(Table1[[#This Row],[Column5]]="","",INDEX(Table2[Column1],MATCH(Table1[[#This Row],[Column5]],Table2[a],0)))</f>
        <v/>
      </c>
      <c r="I346" s="234" t="str">
        <f>IF(Table1[[#This Row],[Column3]]=0,"",CONCATENATE(UPPER(Table1[[#This Row],[Column3]])," ",Table1[[#This Row],[Column4]]))</f>
        <v xml:space="preserve"> </v>
      </c>
      <c r="J346" s="234" t="str">
        <f>IF(Table1[[#This Row],[Column5]]="","",INDEX(Table2[e],IF(Table1[[#This Row],[Column5]]="","",MATCH(Table1[[#This Row],[Column5]],Table2[a],0)),))</f>
        <v/>
      </c>
      <c r="K346" s="234"/>
      <c r="L346" s="234"/>
      <c r="O346" s="234" t="str">
        <f>IF(Table1[[#This Row],[h_Item Description]]="","",INDEX([1]!db[NB PAJAK],MATCH(Table1[[#This Row],[h_Item Description]],[1]!db[kode],0)))</f>
        <v/>
      </c>
      <c r="Q346" s="237"/>
      <c r="R346" s="238"/>
      <c r="S346" s="238"/>
      <c r="T346" s="237" t="str">
        <f>Table1[[#This Row],[h_hargasetelahdiskon]]</f>
        <v/>
      </c>
      <c r="V346" s="234"/>
      <c r="W346" s="234" t="str">
        <f ca="1">IF(Table1[[#This Row],[Column12]]="","",IF(Table1[[#This Row],[//]]="",INDIRECT(ADDRESS(ROW()-1,COLUMN())),Table1[[#This Row],[//]]))</f>
        <v/>
      </c>
      <c r="X346" s="234" t="str">
        <f ca="1">IF(Table1[[#This Row],[h_id]]="","",COUNTIF(Table1[h_id],Table1[[#This Row],[h_id]]))</f>
        <v/>
      </c>
      <c r="Y346" s="237" t="str">
        <f>IF(Table1[[#This Row],[Column12]]="","",Table1[[#This Row],[Qty]]*Table1[[#This Row],[Column13]])</f>
        <v/>
      </c>
      <c r="Z346" s="237" t="str">
        <f>IF(Table1[[#This Row],[h_hargasebelumdiskon]]="","",IF(Table1[[#This Row],[Column14]]="",0,Table1[[#This Row],[h_hargasebelumdiskon]]*Table1[[#This Row],[Column14]]))</f>
        <v/>
      </c>
      <c r="AA346" s="237" t="str">
        <f>IF(Table1[[#This Row],[h_hargasebelumdiskon]]="","",IF(Table1[[#This Row],[Column15]]="",0,(Table1[[#This Row],[h_hargasebelumdiskon]]-Table1[[#This Row],[h_disc 1]])*Table1[[#This Row],[Column15]]))</f>
        <v/>
      </c>
      <c r="AB346" s="237" t="str">
        <f>IF(Table1[[#This Row],[Column12]]="","",Table1[[#This Row],[h_disc 1]]+Table1[[#This Row],[h_disc 2]])</f>
        <v/>
      </c>
      <c r="AC346" s="237" t="str">
        <f>IF(Table1[[#This Row],[Column12]]="","",Table1[[#This Row],[h_hargasebelumdiskon]]-Table1[[#This Row],[h_diskon]])</f>
        <v/>
      </c>
      <c r="AD346" s="237" t="str">
        <f ca="1">IF(Table1[[#This Row],[//]]="","",SUMIF(Table1[h_id],Table1[[#This Row],[h_id]],Table1[h_hargasetelahdiskon]))</f>
        <v/>
      </c>
      <c r="AF346" s="237" t="str">
        <f>Table1[[#This Row],[Column12]]&amp;Table1[[#This Row],[Unit]]&amp;Table1[[#This Row],[Column13]]</f>
        <v/>
      </c>
      <c r="AG346"/>
      <c r="AH346"/>
      <c r="AI346"/>
    </row>
    <row r="347" spans="1:35">
      <c r="A347" s="234" t="str">
        <f ca="1">IF(Table1[[#This Row],[No. Invoice :]]="","",ROW())</f>
        <v/>
      </c>
      <c r="B347" s="234" t="str">
        <f ca="1">IF(Table1[[#This Row],[Column3]]="","",B$1+COUNT(INDIRECT("B$2:B"&amp;ROW()-1)))</f>
        <v/>
      </c>
      <c r="C347" s="235" t="str">
        <f>IF(Table1[[#This Row],[Column2]]="","",Table1[[#This Row],[Column2]]+C$1-1)</f>
        <v/>
      </c>
      <c r="E347" s="236"/>
      <c r="F347" s="234"/>
      <c r="G347" s="234" t="str">
        <f ca="1">IF(Table1[[#This Row],[h_No. Invoice :]]="","",CONCATENATE("AM"," ",Table1[[#This Row],[h_No. Invoice :]]))</f>
        <v/>
      </c>
      <c r="H347" s="234" t="str">
        <f>IF(Table1[[#This Row],[Column5]]="","",INDEX(Table2[Column1],MATCH(Table1[[#This Row],[Column5]],Table2[a],0)))</f>
        <v/>
      </c>
      <c r="I347" s="234" t="str">
        <f>IF(Table1[[#This Row],[Column3]]=0,"",CONCATENATE(UPPER(Table1[[#This Row],[Column3]])," ",Table1[[#This Row],[Column4]]))</f>
        <v xml:space="preserve"> </v>
      </c>
      <c r="J347" s="234" t="str">
        <f>IF(Table1[[#This Row],[Column5]]="","",INDEX(Table2[e],IF(Table1[[#This Row],[Column5]]="","",MATCH(Table1[[#This Row],[Column5]],Table2[a],0)),))</f>
        <v/>
      </c>
      <c r="K347" s="234"/>
      <c r="L347" s="234"/>
      <c r="O347" s="234" t="str">
        <f>IF(Table1[[#This Row],[h_Item Description]]="","",INDEX([1]!db[NB PAJAK],MATCH(Table1[[#This Row],[h_Item Description]],[1]!db[kode],0)))</f>
        <v/>
      </c>
      <c r="Q347" s="237"/>
      <c r="R347" s="238"/>
      <c r="S347" s="238"/>
      <c r="T347" s="237" t="str">
        <f>Table1[[#This Row],[h_hargasetelahdiskon]]</f>
        <v/>
      </c>
      <c r="V347" s="234"/>
      <c r="W347" s="234" t="str">
        <f ca="1">IF(Table1[[#This Row],[Column12]]="","",IF(Table1[[#This Row],[//]]="",INDIRECT(ADDRESS(ROW()-1,COLUMN())),Table1[[#This Row],[//]]))</f>
        <v/>
      </c>
      <c r="X347" s="234" t="str">
        <f ca="1">IF(Table1[[#This Row],[h_id]]="","",COUNTIF(Table1[h_id],Table1[[#This Row],[h_id]]))</f>
        <v/>
      </c>
      <c r="Y347" s="237" t="str">
        <f>IF(Table1[[#This Row],[Column12]]="","",Table1[[#This Row],[Qty]]*Table1[[#This Row],[Column13]])</f>
        <v/>
      </c>
      <c r="Z347" s="237" t="str">
        <f>IF(Table1[[#This Row],[h_hargasebelumdiskon]]="","",IF(Table1[[#This Row],[Column14]]="",0,Table1[[#This Row],[h_hargasebelumdiskon]]*Table1[[#This Row],[Column14]]))</f>
        <v/>
      </c>
      <c r="AA347" s="237" t="str">
        <f>IF(Table1[[#This Row],[h_hargasebelumdiskon]]="","",IF(Table1[[#This Row],[Column15]]="",0,(Table1[[#This Row],[h_hargasebelumdiskon]]-Table1[[#This Row],[h_disc 1]])*Table1[[#This Row],[Column15]]))</f>
        <v/>
      </c>
      <c r="AB347" s="237" t="str">
        <f>IF(Table1[[#This Row],[Column12]]="","",Table1[[#This Row],[h_disc 1]]+Table1[[#This Row],[h_disc 2]])</f>
        <v/>
      </c>
      <c r="AC347" s="237" t="str">
        <f>IF(Table1[[#This Row],[Column12]]="","",Table1[[#This Row],[h_hargasebelumdiskon]]-Table1[[#This Row],[h_diskon]])</f>
        <v/>
      </c>
      <c r="AD347" s="237" t="str">
        <f ca="1">IF(Table1[[#This Row],[//]]="","",SUMIF(Table1[h_id],Table1[[#This Row],[h_id]],Table1[h_hargasetelahdiskon]))</f>
        <v/>
      </c>
      <c r="AF347" s="237" t="str">
        <f>Table1[[#This Row],[Column12]]&amp;Table1[[#This Row],[Unit]]&amp;Table1[[#This Row],[Column13]]</f>
        <v/>
      </c>
      <c r="AG347"/>
      <c r="AH347"/>
      <c r="AI347"/>
    </row>
    <row r="348" spans="1:35">
      <c r="A348" s="234" t="str">
        <f ca="1">IF(Table1[[#This Row],[No. Invoice :]]="","",ROW())</f>
        <v/>
      </c>
      <c r="B348" s="234" t="str">
        <f ca="1">IF(Table1[[#This Row],[Column3]]="","",B$1+COUNT(INDIRECT("B$2:B"&amp;ROW()-1)))</f>
        <v/>
      </c>
      <c r="C348" s="235" t="str">
        <f>IF(Table1[[#This Row],[Column2]]="","",Table1[[#This Row],[Column2]]+C$1-1)</f>
        <v/>
      </c>
      <c r="E348" s="236"/>
      <c r="F348" s="234"/>
      <c r="G348" s="234" t="str">
        <f ca="1">IF(Table1[[#This Row],[h_No. Invoice :]]="","",CONCATENATE("AM"," ",Table1[[#This Row],[h_No. Invoice :]]))</f>
        <v/>
      </c>
      <c r="H348" s="234" t="str">
        <f>IF(Table1[[#This Row],[Column5]]="","",INDEX(Table2[Column1],MATCH(Table1[[#This Row],[Column5]],Table2[a],0)))</f>
        <v/>
      </c>
      <c r="I348" s="234" t="str">
        <f>IF(Table1[[#This Row],[Column3]]=0,"",CONCATENATE(UPPER(Table1[[#This Row],[Column3]])," ",Table1[[#This Row],[Column4]]))</f>
        <v xml:space="preserve"> </v>
      </c>
      <c r="J348" s="234" t="str">
        <f>IF(Table1[[#This Row],[Column5]]="","",INDEX(Table2[e],IF(Table1[[#This Row],[Column5]]="","",MATCH(Table1[[#This Row],[Column5]],Table2[a],0)),))</f>
        <v/>
      </c>
      <c r="K348" s="234"/>
      <c r="L348" s="234"/>
      <c r="O348" s="234" t="str">
        <f>IF(Table1[[#This Row],[h_Item Description]]="","",INDEX([1]!db[NB PAJAK],MATCH(Table1[[#This Row],[h_Item Description]],[1]!db[kode],0)))</f>
        <v/>
      </c>
      <c r="Q348" s="237"/>
      <c r="R348" s="238"/>
      <c r="S348" s="238"/>
      <c r="T348" s="237" t="str">
        <f>Table1[[#This Row],[h_hargasetelahdiskon]]</f>
        <v/>
      </c>
      <c r="V348" s="234"/>
      <c r="W348" s="234" t="str">
        <f ca="1">IF(Table1[[#This Row],[Column12]]="","",IF(Table1[[#This Row],[//]]="",INDIRECT(ADDRESS(ROW()-1,COLUMN())),Table1[[#This Row],[//]]))</f>
        <v/>
      </c>
      <c r="X348" s="234" t="str">
        <f ca="1">IF(Table1[[#This Row],[h_id]]="","",COUNTIF(Table1[h_id],Table1[[#This Row],[h_id]]))</f>
        <v/>
      </c>
      <c r="Y348" s="237" t="str">
        <f>IF(Table1[[#This Row],[Column12]]="","",Table1[[#This Row],[Qty]]*Table1[[#This Row],[Column13]])</f>
        <v/>
      </c>
      <c r="Z348" s="237" t="str">
        <f>IF(Table1[[#This Row],[h_hargasebelumdiskon]]="","",IF(Table1[[#This Row],[Column14]]="",0,Table1[[#This Row],[h_hargasebelumdiskon]]*Table1[[#This Row],[Column14]]))</f>
        <v/>
      </c>
      <c r="AA348" s="237" t="str">
        <f>IF(Table1[[#This Row],[h_hargasebelumdiskon]]="","",IF(Table1[[#This Row],[Column15]]="",0,(Table1[[#This Row],[h_hargasebelumdiskon]]-Table1[[#This Row],[h_disc 1]])*Table1[[#This Row],[Column15]]))</f>
        <v/>
      </c>
      <c r="AB348" s="237" t="str">
        <f>IF(Table1[[#This Row],[Column12]]="","",Table1[[#This Row],[h_disc 1]]+Table1[[#This Row],[h_disc 2]])</f>
        <v/>
      </c>
      <c r="AC348" s="237" t="str">
        <f>IF(Table1[[#This Row],[Column12]]="","",Table1[[#This Row],[h_hargasebelumdiskon]]-Table1[[#This Row],[h_diskon]])</f>
        <v/>
      </c>
      <c r="AD348" s="237" t="str">
        <f ca="1">IF(Table1[[#This Row],[//]]="","",SUMIF(Table1[h_id],Table1[[#This Row],[h_id]],Table1[h_hargasetelahdiskon]))</f>
        <v/>
      </c>
      <c r="AF348" s="237" t="str">
        <f>Table1[[#This Row],[Column12]]&amp;Table1[[#This Row],[Unit]]&amp;Table1[[#This Row],[Column13]]</f>
        <v/>
      </c>
      <c r="AG348"/>
      <c r="AH348"/>
      <c r="AI348"/>
    </row>
    <row r="349" spans="1:35">
      <c r="A349" s="234" t="str">
        <f ca="1">IF(Table1[[#This Row],[No. Invoice :]]="","",ROW())</f>
        <v/>
      </c>
      <c r="B349" s="234" t="str">
        <f ca="1">IF(Table1[[#This Row],[Column3]]="","",B$1+COUNT(INDIRECT("B$2:B"&amp;ROW()-1)))</f>
        <v/>
      </c>
      <c r="C349" s="235" t="str">
        <f>IF(Table1[[#This Row],[Column2]]="","",Table1[[#This Row],[Column2]]+C$1-1)</f>
        <v/>
      </c>
      <c r="E349" s="236"/>
      <c r="F349" s="234"/>
      <c r="G349" s="234" t="str">
        <f ca="1">IF(Table1[[#This Row],[h_No. Invoice :]]="","",CONCATENATE("AM"," ",Table1[[#This Row],[h_No. Invoice :]]))</f>
        <v/>
      </c>
      <c r="H349" s="234" t="str">
        <f>IF(Table1[[#This Row],[Column5]]="","",INDEX(Table2[Column1],MATCH(Table1[[#This Row],[Column5]],Table2[a],0)))</f>
        <v/>
      </c>
      <c r="I349" s="234" t="str">
        <f>IF(Table1[[#This Row],[Column3]]=0,"",CONCATENATE(UPPER(Table1[[#This Row],[Column3]])," ",Table1[[#This Row],[Column4]]))</f>
        <v xml:space="preserve"> </v>
      </c>
      <c r="J349" s="234" t="str">
        <f>IF(Table1[[#This Row],[Column5]]="","",INDEX(Table2[e],IF(Table1[[#This Row],[Column5]]="","",MATCH(Table1[[#This Row],[Column5]],Table2[a],0)),))</f>
        <v/>
      </c>
      <c r="K349" s="234"/>
      <c r="L349" s="234"/>
      <c r="N349" s="436"/>
      <c r="O349" s="234" t="str">
        <f>IF(Table1[[#This Row],[h_Item Description]]="","",INDEX([1]!db[NB PAJAK],MATCH(Table1[[#This Row],[h_Item Description]],[1]!db[kode],0)))</f>
        <v/>
      </c>
      <c r="Q349" s="237"/>
      <c r="R349" s="238"/>
      <c r="S349" s="238"/>
      <c r="T349" s="237" t="str">
        <f>Table1[[#This Row],[h_hargasetelahdiskon]]</f>
        <v/>
      </c>
      <c r="V349" s="234"/>
      <c r="W349" s="234" t="str">
        <f ca="1">IF(Table1[[#This Row],[Column12]]="","",IF(Table1[[#This Row],[//]]="",INDIRECT(ADDRESS(ROW()-1,COLUMN())),Table1[[#This Row],[//]]))</f>
        <v/>
      </c>
      <c r="X349" s="234" t="str">
        <f ca="1">IF(Table1[[#This Row],[h_id]]="","",COUNTIF(Table1[h_id],Table1[[#This Row],[h_id]]))</f>
        <v/>
      </c>
      <c r="Y349" s="237" t="str">
        <f>IF(Table1[[#This Row],[Column12]]="","",Table1[[#This Row],[Qty]]*Table1[[#This Row],[Column13]])</f>
        <v/>
      </c>
      <c r="Z349" s="237" t="str">
        <f>IF(Table1[[#This Row],[h_hargasebelumdiskon]]="","",IF(Table1[[#This Row],[Column14]]="",0,Table1[[#This Row],[h_hargasebelumdiskon]]*Table1[[#This Row],[Column14]]))</f>
        <v/>
      </c>
      <c r="AA349" s="237" t="str">
        <f>IF(Table1[[#This Row],[h_hargasebelumdiskon]]="","",IF(Table1[[#This Row],[Column15]]="",0,(Table1[[#This Row],[h_hargasebelumdiskon]]-Table1[[#This Row],[h_disc 1]])*Table1[[#This Row],[Column15]]))</f>
        <v/>
      </c>
      <c r="AB349" s="237" t="str">
        <f>IF(Table1[[#This Row],[Column12]]="","",Table1[[#This Row],[h_disc 1]]+Table1[[#This Row],[h_disc 2]])</f>
        <v/>
      </c>
      <c r="AC349" s="237" t="str">
        <f>IF(Table1[[#This Row],[Column12]]="","",Table1[[#This Row],[h_hargasebelumdiskon]]-Table1[[#This Row],[h_diskon]])</f>
        <v/>
      </c>
      <c r="AD349" s="237" t="str">
        <f ca="1">IF(Table1[[#This Row],[//]]="","",SUMIF(Table1[h_id],Table1[[#This Row],[h_id]],Table1[h_hargasetelahdiskon]))</f>
        <v/>
      </c>
      <c r="AF349" s="237" t="str">
        <f>Table1[[#This Row],[Column12]]&amp;Table1[[#This Row],[Unit]]&amp;Table1[[#This Row],[Column13]]</f>
        <v/>
      </c>
      <c r="AG349"/>
      <c r="AH349"/>
      <c r="AI349"/>
    </row>
    <row r="350" spans="1:35">
      <c r="A350" s="234" t="str">
        <f ca="1">IF(Table1[[#This Row],[No. Invoice :]]="","",ROW())</f>
        <v/>
      </c>
      <c r="B350" s="234" t="str">
        <f ca="1">IF(Table1[[#This Row],[Column3]]="","",B$1+COUNT(INDIRECT("B$2:B"&amp;ROW()-1)))</f>
        <v/>
      </c>
      <c r="C350" s="235" t="str">
        <f>IF(Table1[[#This Row],[Column2]]="","",Table1[[#This Row],[Column2]]+C$1-1)</f>
        <v/>
      </c>
      <c r="E350" s="236"/>
      <c r="F350" s="234"/>
      <c r="G350" s="234" t="str">
        <f ca="1">IF(Table1[[#This Row],[h_No. Invoice :]]="","",CONCATENATE("AM"," ",Table1[[#This Row],[h_No. Invoice :]]))</f>
        <v/>
      </c>
      <c r="H350" s="234" t="str">
        <f>IF(Table1[[#This Row],[Column5]]="","",INDEX(Table2[Column1],MATCH(Table1[[#This Row],[Column5]],Table2[a],0)))</f>
        <v/>
      </c>
      <c r="I350" s="234" t="str">
        <f>IF(Table1[[#This Row],[Column3]]=0,"",CONCATENATE(UPPER(Table1[[#This Row],[Column3]])," ",Table1[[#This Row],[Column4]]))</f>
        <v xml:space="preserve"> </v>
      </c>
      <c r="J350" s="234" t="str">
        <f>IF(Table1[[#This Row],[Column5]]="","",INDEX(Table2[e],IF(Table1[[#This Row],[Column5]]="","",MATCH(Table1[[#This Row],[Column5]],Table2[a],0)),))</f>
        <v/>
      </c>
      <c r="K350" s="234"/>
      <c r="L350" s="234"/>
      <c r="N350" s="436"/>
      <c r="O350" s="234" t="str">
        <f>IF(Table1[[#This Row],[h_Item Description]]="","",INDEX([1]!db[NB PAJAK],MATCH(Table1[[#This Row],[h_Item Description]],[1]!db[kode],0)))</f>
        <v/>
      </c>
      <c r="Q350" s="237"/>
      <c r="R350" s="238"/>
      <c r="S350" s="238"/>
      <c r="T350" s="237" t="str">
        <f>Table1[[#This Row],[h_hargasetelahdiskon]]</f>
        <v/>
      </c>
      <c r="V350" s="234"/>
      <c r="W350" s="234" t="str">
        <f ca="1">IF(Table1[[#This Row],[Column12]]="","",IF(Table1[[#This Row],[//]]="",INDIRECT(ADDRESS(ROW()-1,COLUMN())),Table1[[#This Row],[//]]))</f>
        <v/>
      </c>
      <c r="X350" s="234" t="str">
        <f ca="1">IF(Table1[[#This Row],[h_id]]="","",COUNTIF(Table1[h_id],Table1[[#This Row],[h_id]]))</f>
        <v/>
      </c>
      <c r="Y350" s="237" t="str">
        <f>IF(Table1[[#This Row],[Column12]]="","",Table1[[#This Row],[Qty]]*Table1[[#This Row],[Column13]])</f>
        <v/>
      </c>
      <c r="Z350" s="237" t="str">
        <f>IF(Table1[[#This Row],[h_hargasebelumdiskon]]="","",IF(Table1[[#This Row],[Column14]]="",0,Table1[[#This Row],[h_hargasebelumdiskon]]*Table1[[#This Row],[Column14]]))</f>
        <v/>
      </c>
      <c r="AA350" s="237" t="str">
        <f>IF(Table1[[#This Row],[h_hargasebelumdiskon]]="","",IF(Table1[[#This Row],[Column15]]="",0,(Table1[[#This Row],[h_hargasebelumdiskon]]-Table1[[#This Row],[h_disc 1]])*Table1[[#This Row],[Column15]]))</f>
        <v/>
      </c>
      <c r="AB350" s="237" t="str">
        <f>IF(Table1[[#This Row],[Column12]]="","",Table1[[#This Row],[h_disc 1]]+Table1[[#This Row],[h_disc 2]])</f>
        <v/>
      </c>
      <c r="AC350" s="237" t="str">
        <f>IF(Table1[[#This Row],[Column12]]="","",Table1[[#This Row],[h_hargasebelumdiskon]]-Table1[[#This Row],[h_diskon]])</f>
        <v/>
      </c>
      <c r="AD350" s="237" t="str">
        <f ca="1">IF(Table1[[#This Row],[//]]="","",SUMIF(Table1[h_id],Table1[[#This Row],[h_id]],Table1[h_hargasetelahdiskon]))</f>
        <v/>
      </c>
      <c r="AF350" s="237" t="str">
        <f>Table1[[#This Row],[Column12]]&amp;Table1[[#This Row],[Unit]]&amp;Table1[[#This Row],[Column13]]</f>
        <v/>
      </c>
      <c r="AG350"/>
      <c r="AH350"/>
      <c r="AI350"/>
    </row>
    <row r="351" spans="1:35">
      <c r="A351" s="234" t="str">
        <f ca="1">IF(Table1[[#This Row],[No. Invoice :]]="","",ROW())</f>
        <v/>
      </c>
      <c r="B351" s="234" t="str">
        <f ca="1">IF(Table1[[#This Row],[Column3]]="","",B$1+COUNT(INDIRECT("B$2:B"&amp;ROW()-1)))</f>
        <v/>
      </c>
      <c r="C351" s="235" t="str">
        <f>IF(Table1[[#This Row],[Column2]]="","",Table1[[#This Row],[Column2]]+C$1-1)</f>
        <v/>
      </c>
      <c r="E351" s="236"/>
      <c r="F351" s="234"/>
      <c r="G351" s="234" t="str">
        <f ca="1">IF(Table1[[#This Row],[h_No. Invoice :]]="","",CONCATENATE("AM"," ",Table1[[#This Row],[h_No. Invoice :]]))</f>
        <v/>
      </c>
      <c r="H351" s="234" t="str">
        <f>IF(Table1[[#This Row],[Column5]]="","",INDEX(Table2[Column1],MATCH(Table1[[#This Row],[Column5]],Table2[a],0)))</f>
        <v/>
      </c>
      <c r="I351" s="234" t="str">
        <f>IF(Table1[[#This Row],[Column3]]=0,"",CONCATENATE(UPPER(Table1[[#This Row],[Column3]])," ",Table1[[#This Row],[Column4]]))</f>
        <v xml:space="preserve"> </v>
      </c>
      <c r="J351" s="234" t="str">
        <f>IF(Table1[[#This Row],[Column5]]="","",INDEX(Table2[e],IF(Table1[[#This Row],[Column5]]="","",MATCH(Table1[[#This Row],[Column5]],Table2[a],0)),))</f>
        <v/>
      </c>
      <c r="K351" s="234"/>
      <c r="L351" s="234"/>
      <c r="O351" s="234" t="str">
        <f>IF(Table1[[#This Row],[h_Item Description]]="","",INDEX([1]!db[NB PAJAK],MATCH(Table1[[#This Row],[h_Item Description]],[1]!db[kode],0)))</f>
        <v/>
      </c>
      <c r="Q351" s="237"/>
      <c r="R351" s="238"/>
      <c r="S351" s="238"/>
      <c r="T351" s="237" t="str">
        <f>Table1[[#This Row],[h_hargasetelahdiskon]]</f>
        <v/>
      </c>
      <c r="V351" s="234"/>
      <c r="W351" s="234" t="str">
        <f ca="1">IF(Table1[[#This Row],[Column12]]="","",IF(Table1[[#This Row],[//]]="",INDIRECT(ADDRESS(ROW()-1,COLUMN())),Table1[[#This Row],[//]]))</f>
        <v/>
      </c>
      <c r="X351" s="234" t="str">
        <f ca="1">IF(Table1[[#This Row],[h_id]]="","",COUNTIF(Table1[h_id],Table1[[#This Row],[h_id]]))</f>
        <v/>
      </c>
      <c r="Y351" s="237" t="str">
        <f>IF(Table1[[#This Row],[Column12]]="","",Table1[[#This Row],[Qty]]*Table1[[#This Row],[Column13]])</f>
        <v/>
      </c>
      <c r="Z351" s="237" t="str">
        <f>IF(Table1[[#This Row],[h_hargasebelumdiskon]]="","",IF(Table1[[#This Row],[Column14]]="",0,Table1[[#This Row],[h_hargasebelumdiskon]]*Table1[[#This Row],[Column14]]))</f>
        <v/>
      </c>
      <c r="AA351" s="237" t="str">
        <f>IF(Table1[[#This Row],[h_hargasebelumdiskon]]="","",IF(Table1[[#This Row],[Column15]]="",0,(Table1[[#This Row],[h_hargasebelumdiskon]]-Table1[[#This Row],[h_disc 1]])*Table1[[#This Row],[Column15]]))</f>
        <v/>
      </c>
      <c r="AB351" s="237" t="str">
        <f>IF(Table1[[#This Row],[Column12]]="","",Table1[[#This Row],[h_disc 1]]+Table1[[#This Row],[h_disc 2]])</f>
        <v/>
      </c>
      <c r="AC351" s="237" t="str">
        <f>IF(Table1[[#This Row],[Column12]]="","",Table1[[#This Row],[h_hargasebelumdiskon]]-Table1[[#This Row],[h_diskon]])</f>
        <v/>
      </c>
      <c r="AD351" s="237" t="str">
        <f ca="1">IF(Table1[[#This Row],[//]]="","",SUMIF(Table1[h_id],Table1[[#This Row],[h_id]],Table1[h_hargasetelahdiskon]))</f>
        <v/>
      </c>
      <c r="AF351" s="237" t="str">
        <f>Table1[[#This Row],[Column12]]&amp;Table1[[#This Row],[Unit]]&amp;Table1[[#This Row],[Column13]]</f>
        <v/>
      </c>
      <c r="AG351"/>
      <c r="AH351"/>
      <c r="AI351"/>
    </row>
    <row r="352" spans="1:35">
      <c r="A352" s="234" t="str">
        <f ca="1">IF(Table1[[#This Row],[No. Invoice :]]="","",ROW())</f>
        <v/>
      </c>
      <c r="B352" s="234" t="str">
        <f ca="1">IF(Table1[[#This Row],[Column3]]="","",B$1+COUNT(INDIRECT("B$2:B"&amp;ROW()-1)))</f>
        <v/>
      </c>
      <c r="C352" s="235" t="str">
        <f>IF(Table1[[#This Row],[Column2]]="","",Table1[[#This Row],[Column2]]+C$1-1)</f>
        <v/>
      </c>
      <c r="E352" s="236"/>
      <c r="F352" s="234"/>
      <c r="G352" s="234" t="str">
        <f ca="1">IF(Table1[[#This Row],[h_No. Invoice :]]="","",CONCATENATE("AM"," ",Table1[[#This Row],[h_No. Invoice :]]))</f>
        <v/>
      </c>
      <c r="H352" s="234" t="str">
        <f>IF(Table1[[#This Row],[Column5]]="","",INDEX(Table2[Column1],MATCH(Table1[[#This Row],[Column5]],Table2[a],0)))</f>
        <v/>
      </c>
      <c r="I352" s="234" t="str">
        <f>IF(Table1[[#This Row],[Column3]]=0,"",CONCATENATE(UPPER(Table1[[#This Row],[Column3]])," ",Table1[[#This Row],[Column4]]))</f>
        <v xml:space="preserve"> </v>
      </c>
      <c r="J352" s="234" t="str">
        <f>IF(Table1[[#This Row],[Column5]]="","",INDEX(Table2[e],IF(Table1[[#This Row],[Column5]]="","",MATCH(Table1[[#This Row],[Column5]],Table2[a],0)),))</f>
        <v/>
      </c>
      <c r="K352" s="234"/>
      <c r="L352" s="234"/>
      <c r="O352" s="234" t="str">
        <f>IF(Table1[[#This Row],[h_Item Description]]="","",INDEX([1]!db[NB PAJAK],MATCH(Table1[[#This Row],[h_Item Description]],[1]!db[kode],0)))</f>
        <v/>
      </c>
      <c r="Q352" s="237"/>
      <c r="R352" s="238"/>
      <c r="S352" s="238"/>
      <c r="T352" s="237" t="str">
        <f>Table1[[#This Row],[h_hargasetelahdiskon]]</f>
        <v/>
      </c>
      <c r="V352" s="234"/>
      <c r="W352" s="234" t="str">
        <f ca="1">IF(Table1[[#This Row],[Column12]]="","",IF(Table1[[#This Row],[//]]="",INDIRECT(ADDRESS(ROW()-1,COLUMN())),Table1[[#This Row],[//]]))</f>
        <v/>
      </c>
      <c r="X352" s="234" t="str">
        <f ca="1">IF(Table1[[#This Row],[h_id]]="","",COUNTIF(Table1[h_id],Table1[[#This Row],[h_id]]))</f>
        <v/>
      </c>
      <c r="Y352" s="237" t="str">
        <f>IF(Table1[[#This Row],[Column12]]="","",Table1[[#This Row],[Qty]]*Table1[[#This Row],[Column13]])</f>
        <v/>
      </c>
      <c r="Z352" s="237" t="str">
        <f>IF(Table1[[#This Row],[h_hargasebelumdiskon]]="","",IF(Table1[[#This Row],[Column14]]="",0,Table1[[#This Row],[h_hargasebelumdiskon]]*Table1[[#This Row],[Column14]]))</f>
        <v/>
      </c>
      <c r="AA352" s="237" t="str">
        <f>IF(Table1[[#This Row],[h_hargasebelumdiskon]]="","",IF(Table1[[#This Row],[Column15]]="",0,(Table1[[#This Row],[h_hargasebelumdiskon]]-Table1[[#This Row],[h_disc 1]])*Table1[[#This Row],[Column15]]))</f>
        <v/>
      </c>
      <c r="AB352" s="237" t="str">
        <f>IF(Table1[[#This Row],[Column12]]="","",Table1[[#This Row],[h_disc 1]]+Table1[[#This Row],[h_disc 2]])</f>
        <v/>
      </c>
      <c r="AC352" s="237" t="str">
        <f>IF(Table1[[#This Row],[Column12]]="","",Table1[[#This Row],[h_hargasebelumdiskon]]-Table1[[#This Row],[h_diskon]])</f>
        <v/>
      </c>
      <c r="AD352" s="237" t="str">
        <f ca="1">IF(Table1[[#This Row],[//]]="","",SUMIF(Table1[h_id],Table1[[#This Row],[h_id]],Table1[h_hargasetelahdiskon]))</f>
        <v/>
      </c>
      <c r="AF352" s="237" t="str">
        <f>Table1[[#This Row],[Column12]]&amp;Table1[[#This Row],[Unit]]&amp;Table1[[#This Row],[Column13]]</f>
        <v/>
      </c>
      <c r="AG352"/>
      <c r="AH352"/>
      <c r="AI352"/>
    </row>
    <row r="353" spans="1:35">
      <c r="A353" s="234" t="str">
        <f ca="1">IF(Table1[[#This Row],[No. Invoice :]]="","",ROW())</f>
        <v/>
      </c>
      <c r="B353" s="234" t="str">
        <f ca="1">IF(Table1[[#This Row],[Column3]]="","",B$1+COUNT(INDIRECT("B$2:B"&amp;ROW()-1)))</f>
        <v/>
      </c>
      <c r="C353" s="235" t="str">
        <f>IF(Table1[[#This Row],[Column2]]="","",Table1[[#This Row],[Column2]]+C$1-1)</f>
        <v/>
      </c>
      <c r="E353" s="236"/>
      <c r="F353" s="234"/>
      <c r="G353" s="234" t="str">
        <f ca="1">IF(Table1[[#This Row],[h_No. Invoice :]]="","",CONCATENATE("AM"," ",Table1[[#This Row],[h_No. Invoice :]]))</f>
        <v/>
      </c>
      <c r="H353" s="234" t="str">
        <f>IF(Table1[[#This Row],[Column5]]="","",INDEX(Table2[Column1],MATCH(Table1[[#This Row],[Column5]],Table2[a],0)))</f>
        <v/>
      </c>
      <c r="I353" s="234" t="str">
        <f>IF(Table1[[#This Row],[Column3]]=0,"",CONCATENATE(UPPER(Table1[[#This Row],[Column3]])," ",Table1[[#This Row],[Column4]]))</f>
        <v xml:space="preserve"> </v>
      </c>
      <c r="J353" s="234" t="str">
        <f>IF(Table1[[#This Row],[Column5]]="","",INDEX(Table2[e],IF(Table1[[#This Row],[Column5]]="","",MATCH(Table1[[#This Row],[Column5]],Table2[a],0)),))</f>
        <v/>
      </c>
      <c r="K353" s="234"/>
      <c r="L353" s="234"/>
      <c r="O353" s="234" t="str">
        <f>IF(Table1[[#This Row],[h_Item Description]]="","",INDEX([1]!db[NB PAJAK],MATCH(Table1[[#This Row],[h_Item Description]],[1]!db[kode],0)))</f>
        <v/>
      </c>
      <c r="Q353" s="237"/>
      <c r="R353" s="238"/>
      <c r="S353" s="238"/>
      <c r="T353" s="237" t="str">
        <f>Table1[[#This Row],[h_hargasetelahdiskon]]</f>
        <v/>
      </c>
      <c r="V353" s="234"/>
      <c r="W353" s="234" t="str">
        <f ca="1">IF(Table1[[#This Row],[Column12]]="","",IF(Table1[[#This Row],[//]]="",INDIRECT(ADDRESS(ROW()-1,COLUMN())),Table1[[#This Row],[//]]))</f>
        <v/>
      </c>
      <c r="X353" s="234" t="str">
        <f ca="1">IF(Table1[[#This Row],[h_id]]="","",COUNTIF(Table1[h_id],Table1[[#This Row],[h_id]]))</f>
        <v/>
      </c>
      <c r="Y353" s="237" t="str">
        <f>IF(Table1[[#This Row],[Column12]]="","",Table1[[#This Row],[Qty]]*Table1[[#This Row],[Column13]])</f>
        <v/>
      </c>
      <c r="Z353" s="237" t="str">
        <f>IF(Table1[[#This Row],[h_hargasebelumdiskon]]="","",IF(Table1[[#This Row],[Column14]]="",0,Table1[[#This Row],[h_hargasebelumdiskon]]*Table1[[#This Row],[Column14]]))</f>
        <v/>
      </c>
      <c r="AA353" s="237" t="str">
        <f>IF(Table1[[#This Row],[h_hargasebelumdiskon]]="","",IF(Table1[[#This Row],[Column15]]="",0,(Table1[[#This Row],[h_hargasebelumdiskon]]-Table1[[#This Row],[h_disc 1]])*Table1[[#This Row],[Column15]]))</f>
        <v/>
      </c>
      <c r="AB353" s="237" t="str">
        <f>IF(Table1[[#This Row],[Column12]]="","",Table1[[#This Row],[h_disc 1]]+Table1[[#This Row],[h_disc 2]])</f>
        <v/>
      </c>
      <c r="AC353" s="237" t="str">
        <f>IF(Table1[[#This Row],[Column12]]="","",Table1[[#This Row],[h_hargasebelumdiskon]]-Table1[[#This Row],[h_diskon]])</f>
        <v/>
      </c>
      <c r="AD353" s="237" t="str">
        <f ca="1">IF(Table1[[#This Row],[//]]="","",SUMIF(Table1[h_id],Table1[[#This Row],[h_id]],Table1[h_hargasetelahdiskon]))</f>
        <v/>
      </c>
      <c r="AF353" s="237" t="str">
        <f>Table1[[#This Row],[Column12]]&amp;Table1[[#This Row],[Unit]]&amp;Table1[[#This Row],[Column13]]</f>
        <v/>
      </c>
      <c r="AG353"/>
      <c r="AH353"/>
      <c r="AI353"/>
    </row>
    <row r="354" spans="1:35">
      <c r="A354" s="234" t="str">
        <f ca="1">IF(Table1[[#This Row],[No. Invoice :]]="","",ROW())</f>
        <v/>
      </c>
      <c r="B354" s="234" t="str">
        <f ca="1">IF(Table1[[#This Row],[Column3]]="","",B$1+COUNT(INDIRECT("B$2:B"&amp;ROW()-1)))</f>
        <v/>
      </c>
      <c r="C354" s="235" t="str">
        <f>IF(Table1[[#This Row],[Column2]]="","",Table1[[#This Row],[Column2]]+C$1-1)</f>
        <v/>
      </c>
      <c r="E354" s="236"/>
      <c r="F354" s="234"/>
      <c r="G354" s="234" t="str">
        <f ca="1">IF(Table1[[#This Row],[h_No. Invoice :]]="","",CONCATENATE("AM"," ",Table1[[#This Row],[h_No. Invoice :]]))</f>
        <v/>
      </c>
      <c r="H354" s="234" t="str">
        <f>IF(Table1[[#This Row],[Column5]]="","",INDEX(Table2[Column1],MATCH(Table1[[#This Row],[Column5]],Table2[a],0)))</f>
        <v/>
      </c>
      <c r="I354" s="234" t="str">
        <f>IF(Table1[[#This Row],[Column3]]=0,"",CONCATENATE(UPPER(Table1[[#This Row],[Column3]])," ",Table1[[#This Row],[Column4]]))</f>
        <v xml:space="preserve"> </v>
      </c>
      <c r="J354" s="234" t="str">
        <f>IF(Table1[[#This Row],[Column5]]="","",INDEX(Table2[e],IF(Table1[[#This Row],[Column5]]="","",MATCH(Table1[[#This Row],[Column5]],Table2[a],0)),))</f>
        <v/>
      </c>
      <c r="K354" s="234"/>
      <c r="L354" s="234"/>
      <c r="O354" s="234" t="str">
        <f>IF(Table1[[#This Row],[h_Item Description]]="","",INDEX([1]!db[NB PAJAK],MATCH(Table1[[#This Row],[h_Item Description]],[1]!db[kode],0)))</f>
        <v/>
      </c>
      <c r="Q354" s="237"/>
      <c r="R354" s="238"/>
      <c r="S354" s="238"/>
      <c r="T354" s="237" t="str">
        <f>Table1[[#This Row],[h_hargasetelahdiskon]]</f>
        <v/>
      </c>
      <c r="V354" s="234"/>
      <c r="W354" s="234" t="str">
        <f ca="1">IF(Table1[[#This Row],[Column12]]="","",IF(Table1[[#This Row],[//]]="",INDIRECT(ADDRESS(ROW()-1,COLUMN())),Table1[[#This Row],[//]]))</f>
        <v/>
      </c>
      <c r="X354" s="234" t="str">
        <f ca="1">IF(Table1[[#This Row],[h_id]]="","",COUNTIF(Table1[h_id],Table1[[#This Row],[h_id]]))</f>
        <v/>
      </c>
      <c r="Y354" s="237" t="str">
        <f>IF(Table1[[#This Row],[Column12]]="","",Table1[[#This Row],[Qty]]*Table1[[#This Row],[Column13]])</f>
        <v/>
      </c>
      <c r="Z354" s="237" t="str">
        <f>IF(Table1[[#This Row],[h_hargasebelumdiskon]]="","",IF(Table1[[#This Row],[Column14]]="",0,Table1[[#This Row],[h_hargasebelumdiskon]]*Table1[[#This Row],[Column14]]))</f>
        <v/>
      </c>
      <c r="AA354" s="237" t="str">
        <f>IF(Table1[[#This Row],[h_hargasebelumdiskon]]="","",IF(Table1[[#This Row],[Column15]]="",0,(Table1[[#This Row],[h_hargasebelumdiskon]]-Table1[[#This Row],[h_disc 1]])*Table1[[#This Row],[Column15]]))</f>
        <v/>
      </c>
      <c r="AB354" s="237" t="str">
        <f>IF(Table1[[#This Row],[Column12]]="","",Table1[[#This Row],[h_disc 1]]+Table1[[#This Row],[h_disc 2]])</f>
        <v/>
      </c>
      <c r="AC354" s="237" t="str">
        <f>IF(Table1[[#This Row],[Column12]]="","",Table1[[#This Row],[h_hargasebelumdiskon]]-Table1[[#This Row],[h_diskon]])</f>
        <v/>
      </c>
      <c r="AD354" s="237" t="str">
        <f ca="1">IF(Table1[[#This Row],[//]]="","",SUMIF(Table1[h_id],Table1[[#This Row],[h_id]],Table1[h_hargasetelahdiskon]))</f>
        <v/>
      </c>
      <c r="AF354" s="237" t="str">
        <f>Table1[[#This Row],[Column12]]&amp;Table1[[#This Row],[Unit]]&amp;Table1[[#This Row],[Column13]]</f>
        <v/>
      </c>
      <c r="AG354"/>
      <c r="AH354"/>
      <c r="AI354"/>
    </row>
    <row r="355" spans="1:35">
      <c r="A355" s="234" t="str">
        <f ca="1">IF(Table1[[#This Row],[No. Invoice :]]="","",ROW())</f>
        <v/>
      </c>
      <c r="B355" s="234" t="str">
        <f ca="1">IF(Table1[[#This Row],[Column3]]="","",B$1+COUNT(INDIRECT("B$2:B"&amp;ROW()-1)))</f>
        <v/>
      </c>
      <c r="C355" s="235" t="str">
        <f>IF(Table1[[#This Row],[Column2]]="","",Table1[[#This Row],[Column2]]+C$1-1)</f>
        <v/>
      </c>
      <c r="E355" s="236"/>
      <c r="F355" s="234"/>
      <c r="G355" s="234" t="str">
        <f ca="1">IF(Table1[[#This Row],[h_No. Invoice :]]="","",CONCATENATE("AM"," ",Table1[[#This Row],[h_No. Invoice :]]))</f>
        <v/>
      </c>
      <c r="H355" s="234" t="str">
        <f>IF(Table1[[#This Row],[Column5]]="","",INDEX(Table2[Column1],MATCH(Table1[[#This Row],[Column5]],Table2[a],0)))</f>
        <v/>
      </c>
      <c r="I355" s="234" t="str">
        <f>IF(Table1[[#This Row],[Column3]]=0,"",CONCATENATE(UPPER(Table1[[#This Row],[Column3]])," ",Table1[[#This Row],[Column4]]))</f>
        <v xml:space="preserve"> </v>
      </c>
      <c r="J355" s="234" t="str">
        <f>IF(Table1[[#This Row],[Column5]]="","",INDEX(Table2[e],IF(Table1[[#This Row],[Column5]]="","",MATCH(Table1[[#This Row],[Column5]],Table2[a],0)),))</f>
        <v/>
      </c>
      <c r="K355" s="234"/>
      <c r="L355" s="234"/>
      <c r="O355" s="234" t="str">
        <f>IF(Table1[[#This Row],[h_Item Description]]="","",INDEX([1]!db[NB PAJAK],MATCH(Table1[[#This Row],[h_Item Description]],[1]!db[kode],0)))</f>
        <v/>
      </c>
      <c r="Q355" s="237"/>
      <c r="R355" s="238"/>
      <c r="S355" s="238"/>
      <c r="T355" s="237" t="str">
        <f>Table1[[#This Row],[h_hargasetelahdiskon]]</f>
        <v/>
      </c>
      <c r="V355" s="234"/>
      <c r="W355" s="234" t="str">
        <f ca="1">IF(Table1[[#This Row],[Column12]]="","",IF(Table1[[#This Row],[//]]="",INDIRECT(ADDRESS(ROW()-1,COLUMN())),Table1[[#This Row],[//]]))</f>
        <v/>
      </c>
      <c r="X355" s="234" t="str">
        <f ca="1">IF(Table1[[#This Row],[h_id]]="","",COUNTIF(Table1[h_id],Table1[[#This Row],[h_id]]))</f>
        <v/>
      </c>
      <c r="Y355" s="237" t="str">
        <f>IF(Table1[[#This Row],[Column12]]="","",Table1[[#This Row],[Qty]]*Table1[[#This Row],[Column13]])</f>
        <v/>
      </c>
      <c r="Z355" s="237" t="str">
        <f>IF(Table1[[#This Row],[h_hargasebelumdiskon]]="","",IF(Table1[[#This Row],[Column14]]="",0,Table1[[#This Row],[h_hargasebelumdiskon]]*Table1[[#This Row],[Column14]]))</f>
        <v/>
      </c>
      <c r="AA355" s="237" t="str">
        <f>IF(Table1[[#This Row],[h_hargasebelumdiskon]]="","",IF(Table1[[#This Row],[Column15]]="",0,(Table1[[#This Row],[h_hargasebelumdiskon]]-Table1[[#This Row],[h_disc 1]])*Table1[[#This Row],[Column15]]))</f>
        <v/>
      </c>
      <c r="AB355" s="237" t="str">
        <f>IF(Table1[[#This Row],[Column12]]="","",Table1[[#This Row],[h_disc 1]]+Table1[[#This Row],[h_disc 2]])</f>
        <v/>
      </c>
      <c r="AC355" s="237" t="str">
        <f>IF(Table1[[#This Row],[Column12]]="","",Table1[[#This Row],[h_hargasebelumdiskon]]-Table1[[#This Row],[h_diskon]])</f>
        <v/>
      </c>
      <c r="AD355" s="237" t="str">
        <f ca="1">IF(Table1[[#This Row],[//]]="","",SUMIF(Table1[h_id],Table1[[#This Row],[h_id]],Table1[h_hargasetelahdiskon]))</f>
        <v/>
      </c>
      <c r="AF355" s="237" t="str">
        <f>Table1[[#This Row],[Column12]]&amp;Table1[[#This Row],[Unit]]&amp;Table1[[#This Row],[Column13]]</f>
        <v/>
      </c>
      <c r="AG355"/>
      <c r="AH355"/>
      <c r="AI355"/>
    </row>
    <row r="356" spans="1:35">
      <c r="A356" s="234" t="str">
        <f ca="1">IF(Table1[[#This Row],[No. Invoice :]]="","",ROW())</f>
        <v/>
      </c>
      <c r="B356" s="234" t="str">
        <f ca="1">IF(Table1[[#This Row],[Column3]]="","",B$1+COUNT(INDIRECT("B$2:B"&amp;ROW()-1)))</f>
        <v/>
      </c>
      <c r="C356" s="235" t="str">
        <f>IF(Table1[[#This Row],[Column2]]="","",Table1[[#This Row],[Column2]]+C$1-1)</f>
        <v/>
      </c>
      <c r="E356" s="236"/>
      <c r="F356" s="234"/>
      <c r="G356" s="234" t="str">
        <f ca="1">IF(Table1[[#This Row],[h_No. Invoice :]]="","",CONCATENATE("AM"," ",Table1[[#This Row],[h_No. Invoice :]]))</f>
        <v/>
      </c>
      <c r="H356" s="234" t="str">
        <f>IF(Table1[[#This Row],[Column5]]="","",INDEX(Table2[Column1],MATCH(Table1[[#This Row],[Column5]],Table2[a],0)))</f>
        <v/>
      </c>
      <c r="I356" s="234" t="str">
        <f>IF(Table1[[#This Row],[Column3]]=0,"",CONCATENATE(UPPER(Table1[[#This Row],[Column3]])," ",Table1[[#This Row],[Column4]]))</f>
        <v xml:space="preserve"> </v>
      </c>
      <c r="J356" s="234" t="str">
        <f>IF(Table1[[#This Row],[Column5]]="","",INDEX(Table2[e],IF(Table1[[#This Row],[Column5]]="","",MATCH(Table1[[#This Row],[Column5]],Table2[a],0)),))</f>
        <v/>
      </c>
      <c r="K356" s="234"/>
      <c r="L356" s="234"/>
      <c r="O356" s="234" t="str">
        <f>IF(Table1[[#This Row],[h_Item Description]]="","",INDEX([1]!db[NB PAJAK],MATCH(Table1[[#This Row],[h_Item Description]],[1]!db[kode],0)))</f>
        <v/>
      </c>
      <c r="Q356" s="237"/>
      <c r="R356" s="238"/>
      <c r="S356" s="238"/>
      <c r="T356" s="237" t="str">
        <f>Table1[[#This Row],[h_hargasetelahdiskon]]</f>
        <v/>
      </c>
      <c r="V356" s="234"/>
      <c r="W356" s="234" t="str">
        <f ca="1">IF(Table1[[#This Row],[Column12]]="","",IF(Table1[[#This Row],[//]]="",INDIRECT(ADDRESS(ROW()-1,COLUMN())),Table1[[#This Row],[//]]))</f>
        <v/>
      </c>
      <c r="X356" s="234" t="str">
        <f ca="1">IF(Table1[[#This Row],[h_id]]="","",COUNTIF(Table1[h_id],Table1[[#This Row],[h_id]]))</f>
        <v/>
      </c>
      <c r="Y356" s="237" t="str">
        <f>IF(Table1[[#This Row],[Column12]]="","",Table1[[#This Row],[Qty]]*Table1[[#This Row],[Column13]])</f>
        <v/>
      </c>
      <c r="Z356" s="237" t="str">
        <f>IF(Table1[[#This Row],[h_hargasebelumdiskon]]="","",IF(Table1[[#This Row],[Column14]]="",0,Table1[[#This Row],[h_hargasebelumdiskon]]*Table1[[#This Row],[Column14]]))</f>
        <v/>
      </c>
      <c r="AA356" s="237" t="str">
        <f>IF(Table1[[#This Row],[h_hargasebelumdiskon]]="","",IF(Table1[[#This Row],[Column15]]="",0,(Table1[[#This Row],[h_hargasebelumdiskon]]-Table1[[#This Row],[h_disc 1]])*Table1[[#This Row],[Column15]]))</f>
        <v/>
      </c>
      <c r="AB356" s="237" t="str">
        <f>IF(Table1[[#This Row],[Column12]]="","",Table1[[#This Row],[h_disc 1]]+Table1[[#This Row],[h_disc 2]])</f>
        <v/>
      </c>
      <c r="AC356" s="237" t="str">
        <f>IF(Table1[[#This Row],[Column12]]="","",Table1[[#This Row],[h_hargasebelumdiskon]]-Table1[[#This Row],[h_diskon]])</f>
        <v/>
      </c>
      <c r="AD356" s="237" t="str">
        <f ca="1">IF(Table1[[#This Row],[//]]="","",SUMIF(Table1[h_id],Table1[[#This Row],[h_id]],Table1[h_hargasetelahdiskon]))</f>
        <v/>
      </c>
      <c r="AF356" s="237" t="str">
        <f>Table1[[#This Row],[Column12]]&amp;Table1[[#This Row],[Unit]]&amp;Table1[[#This Row],[Column13]]</f>
        <v/>
      </c>
      <c r="AG356"/>
      <c r="AH356"/>
      <c r="AI356"/>
    </row>
    <row r="357" spans="1:35">
      <c r="A357" s="234" t="str">
        <f ca="1">IF(Table1[[#This Row],[No. Invoice :]]="","",ROW())</f>
        <v/>
      </c>
      <c r="B357" s="234" t="str">
        <f ca="1">IF(Table1[[#This Row],[Column3]]="","",B$1+COUNT(INDIRECT("B$2:B"&amp;ROW()-1)))</f>
        <v/>
      </c>
      <c r="C357" s="235" t="str">
        <f>IF(Table1[[#This Row],[Column2]]="","",Table1[[#This Row],[Column2]]+C$1-1)</f>
        <v/>
      </c>
      <c r="E357" s="236"/>
      <c r="F357" s="234"/>
      <c r="G357" s="234" t="str">
        <f ca="1">IF(Table1[[#This Row],[h_No. Invoice :]]="","",CONCATENATE("AM"," ",Table1[[#This Row],[h_No. Invoice :]]))</f>
        <v/>
      </c>
      <c r="H357" s="234" t="str">
        <f>IF(Table1[[#This Row],[Column5]]="","",INDEX(Table2[Column1],MATCH(Table1[[#This Row],[Column5]],Table2[a],0)))</f>
        <v/>
      </c>
      <c r="I357" s="234" t="str">
        <f>IF(Table1[[#This Row],[Column3]]=0,"",CONCATENATE(UPPER(Table1[[#This Row],[Column3]])," ",Table1[[#This Row],[Column4]]))</f>
        <v xml:space="preserve"> </v>
      </c>
      <c r="J357" s="234" t="str">
        <f>IF(Table1[[#This Row],[Column5]]="","",INDEX(Table2[e],IF(Table1[[#This Row],[Column5]]="","",MATCH(Table1[[#This Row],[Column5]],Table2[a],0)),))</f>
        <v/>
      </c>
      <c r="K357" s="234"/>
      <c r="L357" s="234"/>
      <c r="O357" s="234" t="str">
        <f>IF(Table1[[#This Row],[h_Item Description]]="","",INDEX([1]!db[NB PAJAK],MATCH(Table1[[#This Row],[h_Item Description]],[1]!db[kode],0)))</f>
        <v/>
      </c>
      <c r="Q357" s="237"/>
      <c r="R357" s="238"/>
      <c r="S357" s="238"/>
      <c r="T357" s="237" t="str">
        <f>Table1[[#This Row],[h_hargasetelahdiskon]]</f>
        <v/>
      </c>
      <c r="V357" s="234"/>
      <c r="W357" s="234" t="str">
        <f ca="1">IF(Table1[[#This Row],[Column12]]="","",IF(Table1[[#This Row],[//]]="",INDIRECT(ADDRESS(ROW()-1,COLUMN())),Table1[[#This Row],[//]]))</f>
        <v/>
      </c>
      <c r="X357" s="234" t="str">
        <f ca="1">IF(Table1[[#This Row],[h_id]]="","",COUNTIF(Table1[h_id],Table1[[#This Row],[h_id]]))</f>
        <v/>
      </c>
      <c r="Y357" s="237" t="str">
        <f>IF(Table1[[#This Row],[Column12]]="","",Table1[[#This Row],[Qty]]*Table1[[#This Row],[Column13]])</f>
        <v/>
      </c>
      <c r="Z357" s="237" t="str">
        <f>IF(Table1[[#This Row],[h_hargasebelumdiskon]]="","",IF(Table1[[#This Row],[Column14]]="",0,Table1[[#This Row],[h_hargasebelumdiskon]]*Table1[[#This Row],[Column14]]))</f>
        <v/>
      </c>
      <c r="AA357" s="237" t="str">
        <f>IF(Table1[[#This Row],[h_hargasebelumdiskon]]="","",IF(Table1[[#This Row],[Column15]]="",0,(Table1[[#This Row],[h_hargasebelumdiskon]]-Table1[[#This Row],[h_disc 1]])*Table1[[#This Row],[Column15]]))</f>
        <v/>
      </c>
      <c r="AB357" s="237" t="str">
        <f>IF(Table1[[#This Row],[Column12]]="","",Table1[[#This Row],[h_disc 1]]+Table1[[#This Row],[h_disc 2]])</f>
        <v/>
      </c>
      <c r="AC357" s="237" t="str">
        <f>IF(Table1[[#This Row],[Column12]]="","",Table1[[#This Row],[h_hargasebelumdiskon]]-Table1[[#This Row],[h_diskon]])</f>
        <v/>
      </c>
      <c r="AD357" s="237" t="str">
        <f ca="1">IF(Table1[[#This Row],[//]]="","",SUMIF(Table1[h_id],Table1[[#This Row],[h_id]],Table1[h_hargasetelahdiskon]))</f>
        <v/>
      </c>
      <c r="AF357" s="237" t="str">
        <f>Table1[[#This Row],[Column12]]&amp;Table1[[#This Row],[Unit]]&amp;Table1[[#This Row],[Column13]]</f>
        <v/>
      </c>
      <c r="AG357"/>
      <c r="AH357"/>
      <c r="AI357"/>
    </row>
    <row r="358" spans="1:35">
      <c r="A358" s="234" t="str">
        <f ca="1">IF(Table1[[#This Row],[No. Invoice :]]="","",ROW())</f>
        <v/>
      </c>
      <c r="B358" s="234" t="str">
        <f ca="1">IF(Table1[[#This Row],[Column3]]="","",B$1+COUNT(INDIRECT("B$2:B"&amp;ROW()-1)))</f>
        <v/>
      </c>
      <c r="C358" s="235" t="str">
        <f>IF(Table1[[#This Row],[Column2]]="","",Table1[[#This Row],[Column2]]+C$1-1)</f>
        <v/>
      </c>
      <c r="E358" s="236"/>
      <c r="F358" s="234"/>
      <c r="G358" s="234" t="str">
        <f ca="1">IF(Table1[[#This Row],[h_No. Invoice :]]="","",CONCATENATE("AM"," ",Table1[[#This Row],[h_No. Invoice :]]))</f>
        <v/>
      </c>
      <c r="H358" s="234" t="str">
        <f>IF(Table1[[#This Row],[Column5]]="","",INDEX(Table2[Column1],MATCH(Table1[[#This Row],[Column5]],Table2[a],0)))</f>
        <v/>
      </c>
      <c r="I358" s="234" t="str">
        <f>IF(Table1[[#This Row],[Column3]]=0,"",CONCATENATE(UPPER(Table1[[#This Row],[Column3]])," ",Table1[[#This Row],[Column4]]))</f>
        <v xml:space="preserve"> </v>
      </c>
      <c r="J358" s="234" t="str">
        <f>IF(Table1[[#This Row],[Column5]]="","",INDEX(Table2[e],IF(Table1[[#This Row],[Column5]]="","",MATCH(Table1[[#This Row],[Column5]],Table2[a],0)),))</f>
        <v/>
      </c>
      <c r="K358" s="234"/>
      <c r="L358" s="234"/>
      <c r="O358" s="234" t="str">
        <f>IF(Table1[[#This Row],[h_Item Description]]="","",INDEX([1]!db[NB PAJAK],MATCH(Table1[[#This Row],[h_Item Description]],[1]!db[kode],0)))</f>
        <v/>
      </c>
      <c r="Q358" s="237"/>
      <c r="R358" s="238"/>
      <c r="S358" s="238"/>
      <c r="T358" s="237" t="str">
        <f>Table1[[#This Row],[h_hargasetelahdiskon]]</f>
        <v/>
      </c>
      <c r="V358" s="234"/>
      <c r="W358" s="234" t="str">
        <f ca="1">IF(Table1[[#This Row],[Column12]]="","",IF(Table1[[#This Row],[//]]="",INDIRECT(ADDRESS(ROW()-1,COLUMN())),Table1[[#This Row],[//]]))</f>
        <v/>
      </c>
      <c r="X358" s="234" t="str">
        <f ca="1">IF(Table1[[#This Row],[h_id]]="","",COUNTIF(Table1[h_id],Table1[[#This Row],[h_id]]))</f>
        <v/>
      </c>
      <c r="Y358" s="237" t="str">
        <f>IF(Table1[[#This Row],[Column12]]="","",Table1[[#This Row],[Qty]]*Table1[[#This Row],[Column13]])</f>
        <v/>
      </c>
      <c r="Z358" s="237" t="str">
        <f>IF(Table1[[#This Row],[h_hargasebelumdiskon]]="","",IF(Table1[[#This Row],[Column14]]="",0,Table1[[#This Row],[h_hargasebelumdiskon]]*Table1[[#This Row],[Column14]]))</f>
        <v/>
      </c>
      <c r="AA358" s="237" t="str">
        <f>IF(Table1[[#This Row],[h_hargasebelumdiskon]]="","",IF(Table1[[#This Row],[Column15]]="",0,(Table1[[#This Row],[h_hargasebelumdiskon]]-Table1[[#This Row],[h_disc 1]])*Table1[[#This Row],[Column15]]))</f>
        <v/>
      </c>
      <c r="AB358" s="237" t="str">
        <f>IF(Table1[[#This Row],[Column12]]="","",Table1[[#This Row],[h_disc 1]]+Table1[[#This Row],[h_disc 2]])</f>
        <v/>
      </c>
      <c r="AC358" s="237" t="str">
        <f>IF(Table1[[#This Row],[Column12]]="","",Table1[[#This Row],[h_hargasebelumdiskon]]-Table1[[#This Row],[h_diskon]])</f>
        <v/>
      </c>
      <c r="AD358" s="237" t="str">
        <f ca="1">IF(Table1[[#This Row],[//]]="","",SUMIF(Table1[h_id],Table1[[#This Row],[h_id]],Table1[h_hargasetelahdiskon]))</f>
        <v/>
      </c>
      <c r="AF358" s="237" t="str">
        <f>Table1[[#This Row],[Column12]]&amp;Table1[[#This Row],[Unit]]&amp;Table1[[#This Row],[Column13]]</f>
        <v/>
      </c>
      <c r="AG358"/>
      <c r="AH358"/>
      <c r="AI358"/>
    </row>
    <row r="359" spans="1:35">
      <c r="A359" s="234" t="str">
        <f ca="1">IF(Table1[[#This Row],[No. Invoice :]]="","",ROW())</f>
        <v/>
      </c>
      <c r="B359" s="234" t="str">
        <f ca="1">IF(Table1[[#This Row],[Column3]]="","",B$1+COUNT(INDIRECT("B$2:B"&amp;ROW()-1)))</f>
        <v/>
      </c>
      <c r="C359" s="235" t="str">
        <f>IF(Table1[[#This Row],[Column2]]="","",Table1[[#This Row],[Column2]]+C$1-1)</f>
        <v/>
      </c>
      <c r="E359" s="236"/>
      <c r="F359" s="234"/>
      <c r="G359" s="234" t="str">
        <f ca="1">IF(Table1[[#This Row],[h_No. Invoice :]]="","",CONCATENATE("AM"," ",Table1[[#This Row],[h_No. Invoice :]]))</f>
        <v/>
      </c>
      <c r="H359" s="234" t="str">
        <f>IF(Table1[[#This Row],[Column5]]="","",INDEX(Table2[Column1],MATCH(Table1[[#This Row],[Column5]],Table2[a],0)))</f>
        <v/>
      </c>
      <c r="I359" s="234" t="str">
        <f>IF(Table1[[#This Row],[Column3]]=0,"",CONCATENATE(UPPER(Table1[[#This Row],[Column3]])," ",Table1[[#This Row],[Column4]]))</f>
        <v xml:space="preserve"> </v>
      </c>
      <c r="J359" s="234" t="str">
        <f>IF(Table1[[#This Row],[Column5]]="","",INDEX(Table2[e],IF(Table1[[#This Row],[Column5]]="","",MATCH(Table1[[#This Row],[Column5]],Table2[a],0)),))</f>
        <v/>
      </c>
      <c r="K359" s="234"/>
      <c r="L359" s="234"/>
      <c r="O359" s="234" t="str">
        <f>IF(Table1[[#This Row],[h_Item Description]]="","",INDEX([1]!db[NB PAJAK],MATCH(Table1[[#This Row],[h_Item Description]],[1]!db[kode],0)))</f>
        <v/>
      </c>
      <c r="Q359" s="237"/>
      <c r="R359" s="238"/>
      <c r="S359" s="238"/>
      <c r="T359" s="237" t="str">
        <f>Table1[[#This Row],[h_hargasetelahdiskon]]</f>
        <v/>
      </c>
      <c r="V359" s="234"/>
      <c r="W359" s="234" t="str">
        <f ca="1">IF(Table1[[#This Row],[Column12]]="","",IF(Table1[[#This Row],[//]]="",INDIRECT(ADDRESS(ROW()-1,COLUMN())),Table1[[#This Row],[//]]))</f>
        <v/>
      </c>
      <c r="X359" s="234" t="str">
        <f ca="1">IF(Table1[[#This Row],[h_id]]="","",COUNTIF(Table1[h_id],Table1[[#This Row],[h_id]]))</f>
        <v/>
      </c>
      <c r="Y359" s="237" t="str">
        <f>IF(Table1[[#This Row],[Column12]]="","",Table1[[#This Row],[Qty]]*Table1[[#This Row],[Column13]])</f>
        <v/>
      </c>
      <c r="Z359" s="237" t="str">
        <f>IF(Table1[[#This Row],[h_hargasebelumdiskon]]="","",IF(Table1[[#This Row],[Column14]]="",0,Table1[[#This Row],[h_hargasebelumdiskon]]*Table1[[#This Row],[Column14]]))</f>
        <v/>
      </c>
      <c r="AA359" s="237" t="str">
        <f>IF(Table1[[#This Row],[h_hargasebelumdiskon]]="","",IF(Table1[[#This Row],[Column15]]="",0,(Table1[[#This Row],[h_hargasebelumdiskon]]-Table1[[#This Row],[h_disc 1]])*Table1[[#This Row],[Column15]]))</f>
        <v/>
      </c>
      <c r="AB359" s="237" t="str">
        <f>IF(Table1[[#This Row],[Column12]]="","",Table1[[#This Row],[h_disc 1]]+Table1[[#This Row],[h_disc 2]])</f>
        <v/>
      </c>
      <c r="AC359" s="237" t="str">
        <f>IF(Table1[[#This Row],[Column12]]="","",Table1[[#This Row],[h_hargasebelumdiskon]]-Table1[[#This Row],[h_diskon]])</f>
        <v/>
      </c>
      <c r="AD359" s="237" t="str">
        <f ca="1">IF(Table1[[#This Row],[//]]="","",SUMIF(Table1[h_id],Table1[[#This Row],[h_id]],Table1[h_hargasetelahdiskon]))</f>
        <v/>
      </c>
      <c r="AF359" s="237" t="str">
        <f>Table1[[#This Row],[Column12]]&amp;Table1[[#This Row],[Unit]]&amp;Table1[[#This Row],[Column13]]</f>
        <v/>
      </c>
      <c r="AG359"/>
      <c r="AH359"/>
      <c r="AI359"/>
    </row>
    <row r="360" spans="1:35">
      <c r="A360" s="234" t="str">
        <f ca="1">IF(Table1[[#This Row],[No. Invoice :]]="","",ROW())</f>
        <v/>
      </c>
      <c r="B360" s="234" t="str">
        <f ca="1">IF(Table1[[#This Row],[Column3]]="","",B$1+COUNT(INDIRECT("B$2:B"&amp;ROW()-1)))</f>
        <v/>
      </c>
      <c r="C360" s="235" t="str">
        <f>IF(Table1[[#This Row],[Column2]]="","",Table1[[#This Row],[Column2]]+C$1-1)</f>
        <v/>
      </c>
      <c r="E360" s="236"/>
      <c r="F360" s="234"/>
      <c r="G360" s="234" t="str">
        <f ca="1">IF(Table1[[#This Row],[h_No. Invoice :]]="","",CONCATENATE("AM"," ",Table1[[#This Row],[h_No. Invoice :]]))</f>
        <v/>
      </c>
      <c r="H360" s="234" t="str">
        <f>IF(Table1[[#This Row],[Column5]]="","",INDEX(Table2[Column1],MATCH(Table1[[#This Row],[Column5]],Table2[a],0)))</f>
        <v/>
      </c>
      <c r="I360" s="234" t="str">
        <f>IF(Table1[[#This Row],[Column3]]=0,"",CONCATENATE(UPPER(Table1[[#This Row],[Column3]])," ",Table1[[#This Row],[Column4]]))</f>
        <v xml:space="preserve"> </v>
      </c>
      <c r="J360" s="234" t="str">
        <f>IF(Table1[[#This Row],[Column5]]="","",INDEX(Table2[e],IF(Table1[[#This Row],[Column5]]="","",MATCH(Table1[[#This Row],[Column5]],Table2[a],0)),))</f>
        <v/>
      </c>
      <c r="K360" s="234"/>
      <c r="L360" s="234"/>
      <c r="O360" s="234" t="str">
        <f>IF(Table1[[#This Row],[h_Item Description]]="","",INDEX([1]!db[NB PAJAK],MATCH(Table1[[#This Row],[h_Item Description]],[1]!db[kode],0)))</f>
        <v/>
      </c>
      <c r="Q360" s="237"/>
      <c r="R360" s="238"/>
      <c r="S360" s="238"/>
      <c r="T360" s="237" t="str">
        <f>Table1[[#This Row],[h_hargasetelahdiskon]]</f>
        <v/>
      </c>
      <c r="V360" s="234"/>
      <c r="W360" s="234" t="str">
        <f ca="1">IF(Table1[[#This Row],[Column12]]="","",IF(Table1[[#This Row],[//]]="",INDIRECT(ADDRESS(ROW()-1,COLUMN())),Table1[[#This Row],[//]]))</f>
        <v/>
      </c>
      <c r="X360" s="234" t="str">
        <f ca="1">IF(Table1[[#This Row],[h_id]]="","",COUNTIF(Table1[h_id],Table1[[#This Row],[h_id]]))</f>
        <v/>
      </c>
      <c r="Y360" s="237" t="str">
        <f>IF(Table1[[#This Row],[Column12]]="","",Table1[[#This Row],[Qty]]*Table1[[#This Row],[Column13]])</f>
        <v/>
      </c>
      <c r="Z360" s="237" t="str">
        <f>IF(Table1[[#This Row],[h_hargasebelumdiskon]]="","",IF(Table1[[#This Row],[Column14]]="",0,Table1[[#This Row],[h_hargasebelumdiskon]]*Table1[[#This Row],[Column14]]))</f>
        <v/>
      </c>
      <c r="AA360" s="237" t="str">
        <f>IF(Table1[[#This Row],[h_hargasebelumdiskon]]="","",IF(Table1[[#This Row],[Column15]]="",0,(Table1[[#This Row],[h_hargasebelumdiskon]]-Table1[[#This Row],[h_disc 1]])*Table1[[#This Row],[Column15]]))</f>
        <v/>
      </c>
      <c r="AB360" s="237" t="str">
        <f>IF(Table1[[#This Row],[Column12]]="","",Table1[[#This Row],[h_disc 1]]+Table1[[#This Row],[h_disc 2]])</f>
        <v/>
      </c>
      <c r="AC360" s="237" t="str">
        <f>IF(Table1[[#This Row],[Column12]]="","",Table1[[#This Row],[h_hargasebelumdiskon]]-Table1[[#This Row],[h_diskon]])</f>
        <v/>
      </c>
      <c r="AD360" s="237" t="str">
        <f ca="1">IF(Table1[[#This Row],[//]]="","",SUMIF(Table1[h_id],Table1[[#This Row],[h_id]],Table1[h_hargasetelahdiskon]))</f>
        <v/>
      </c>
      <c r="AF360" s="237" t="str">
        <f>Table1[[#This Row],[Column12]]&amp;Table1[[#This Row],[Unit]]&amp;Table1[[#This Row],[Column13]]</f>
        <v/>
      </c>
      <c r="AG360"/>
      <c r="AH360"/>
      <c r="AI360"/>
    </row>
    <row r="361" spans="1:35">
      <c r="A361" s="234" t="str">
        <f ca="1">IF(Table1[[#This Row],[No. Invoice :]]="","",ROW())</f>
        <v/>
      </c>
      <c r="B361" s="234" t="str">
        <f ca="1">IF(Table1[[#This Row],[Column3]]="","",B$1+COUNT(INDIRECT("B$2:B"&amp;ROW()-1)))</f>
        <v/>
      </c>
      <c r="C361" s="235" t="str">
        <f>IF(Table1[[#This Row],[Column2]]="","",Table1[[#This Row],[Column2]]+C$1-1)</f>
        <v/>
      </c>
      <c r="E361" s="236"/>
      <c r="F361" s="234"/>
      <c r="G361" s="234" t="str">
        <f ca="1">IF(Table1[[#This Row],[h_No. Invoice :]]="","",CONCATENATE("AM"," ",Table1[[#This Row],[h_No. Invoice :]]))</f>
        <v/>
      </c>
      <c r="H361" s="234" t="str">
        <f>IF(Table1[[#This Row],[Column5]]="","",INDEX(Table2[Column1],MATCH(Table1[[#This Row],[Column5]],Table2[a],0)))</f>
        <v/>
      </c>
      <c r="I361" s="234" t="str">
        <f>IF(Table1[[#This Row],[Column3]]=0,"",CONCATENATE(UPPER(Table1[[#This Row],[Column3]])," ",Table1[[#This Row],[Column4]]))</f>
        <v xml:space="preserve"> </v>
      </c>
      <c r="J361" s="234" t="str">
        <f>IF(Table1[[#This Row],[Column5]]="","",INDEX(Table2[e],IF(Table1[[#This Row],[Column5]]="","",MATCH(Table1[[#This Row],[Column5]],Table2[a],0)),))</f>
        <v/>
      </c>
      <c r="K361" s="234"/>
      <c r="L361" s="234"/>
      <c r="O361" s="234" t="str">
        <f>IF(Table1[[#This Row],[h_Item Description]]="","",INDEX([1]!db[NB PAJAK],MATCH(Table1[[#This Row],[h_Item Description]],[1]!db[kode],0)))</f>
        <v/>
      </c>
      <c r="Q361" s="237"/>
      <c r="R361" s="238"/>
      <c r="S361" s="238"/>
      <c r="T361" s="237" t="str">
        <f>Table1[[#This Row],[h_hargasetelahdiskon]]</f>
        <v/>
      </c>
      <c r="V361" s="234"/>
      <c r="W361" s="234" t="str">
        <f ca="1">IF(Table1[[#This Row],[Column12]]="","",IF(Table1[[#This Row],[//]]="",INDIRECT(ADDRESS(ROW()-1,COLUMN())),Table1[[#This Row],[//]]))</f>
        <v/>
      </c>
      <c r="X361" s="234" t="str">
        <f ca="1">IF(Table1[[#This Row],[h_id]]="","",COUNTIF(Table1[h_id],Table1[[#This Row],[h_id]]))</f>
        <v/>
      </c>
      <c r="Y361" s="237" t="str">
        <f>IF(Table1[[#This Row],[Column12]]="","",Table1[[#This Row],[Qty]]*Table1[[#This Row],[Column13]])</f>
        <v/>
      </c>
      <c r="Z361" s="237" t="str">
        <f>IF(Table1[[#This Row],[h_hargasebelumdiskon]]="","",IF(Table1[[#This Row],[Column14]]="",0,Table1[[#This Row],[h_hargasebelumdiskon]]*Table1[[#This Row],[Column14]]))</f>
        <v/>
      </c>
      <c r="AA361" s="237" t="str">
        <f>IF(Table1[[#This Row],[h_hargasebelumdiskon]]="","",IF(Table1[[#This Row],[Column15]]="",0,(Table1[[#This Row],[h_hargasebelumdiskon]]-Table1[[#This Row],[h_disc 1]])*Table1[[#This Row],[Column15]]))</f>
        <v/>
      </c>
      <c r="AB361" s="237" t="str">
        <f>IF(Table1[[#This Row],[Column12]]="","",Table1[[#This Row],[h_disc 1]]+Table1[[#This Row],[h_disc 2]])</f>
        <v/>
      </c>
      <c r="AC361" s="237" t="str">
        <f>IF(Table1[[#This Row],[Column12]]="","",Table1[[#This Row],[h_hargasebelumdiskon]]-Table1[[#This Row],[h_diskon]])</f>
        <v/>
      </c>
      <c r="AD361" s="237" t="str">
        <f ca="1">IF(Table1[[#This Row],[//]]="","",SUMIF(Table1[h_id],Table1[[#This Row],[h_id]],Table1[h_hargasetelahdiskon]))</f>
        <v/>
      </c>
      <c r="AF361" s="237" t="str">
        <f>Table1[[#This Row],[Column12]]&amp;Table1[[#This Row],[Unit]]&amp;Table1[[#This Row],[Column13]]</f>
        <v/>
      </c>
      <c r="AG361"/>
      <c r="AH361"/>
      <c r="AI361"/>
    </row>
    <row r="362" spans="1:35">
      <c r="A362" s="234" t="str">
        <f ca="1">IF(Table1[[#This Row],[No. Invoice :]]="","",ROW())</f>
        <v/>
      </c>
      <c r="B362" s="234" t="str">
        <f ca="1">IF(Table1[[#This Row],[Column3]]="","",B$1+COUNT(INDIRECT("B$2:B"&amp;ROW()-1)))</f>
        <v/>
      </c>
      <c r="C362" s="235" t="str">
        <f>IF(Table1[[#This Row],[Column2]]="","",Table1[[#This Row],[Column2]]+C$1-1)</f>
        <v/>
      </c>
      <c r="E362" s="236"/>
      <c r="F362" s="234"/>
      <c r="G362" s="234" t="str">
        <f ca="1">IF(Table1[[#This Row],[h_No. Invoice :]]="","",CONCATENATE("AM"," ",Table1[[#This Row],[h_No. Invoice :]]))</f>
        <v/>
      </c>
      <c r="H362" s="234" t="str">
        <f>IF(Table1[[#This Row],[Column5]]="","",INDEX(Table2[Column1],MATCH(Table1[[#This Row],[Column5]],Table2[a],0)))</f>
        <v/>
      </c>
      <c r="I362" s="234" t="str">
        <f>IF(Table1[[#This Row],[Column3]]=0,"",CONCATENATE(UPPER(Table1[[#This Row],[Column3]])," ",Table1[[#This Row],[Column4]]))</f>
        <v xml:space="preserve"> </v>
      </c>
      <c r="J362" s="234" t="str">
        <f>IF(Table1[[#This Row],[Column5]]="","",INDEX(Table2[e],IF(Table1[[#This Row],[Column5]]="","",MATCH(Table1[[#This Row],[Column5]],Table2[a],0)),))</f>
        <v/>
      </c>
      <c r="K362" s="234"/>
      <c r="L362" s="234"/>
      <c r="O362" s="234" t="str">
        <f>IF(Table1[[#This Row],[h_Item Description]]="","",INDEX([1]!db[NB PAJAK],MATCH(Table1[[#This Row],[h_Item Description]],[1]!db[kode],0)))</f>
        <v/>
      </c>
      <c r="Q362" s="237"/>
      <c r="R362" s="238"/>
      <c r="S362" s="238"/>
      <c r="T362" s="237" t="str">
        <f>Table1[[#This Row],[h_hargasetelahdiskon]]</f>
        <v/>
      </c>
      <c r="V362" s="234"/>
      <c r="W362" s="234" t="str">
        <f ca="1">IF(Table1[[#This Row],[Column12]]="","",IF(Table1[[#This Row],[//]]="",INDIRECT(ADDRESS(ROW()-1,COLUMN())),Table1[[#This Row],[//]]))</f>
        <v/>
      </c>
      <c r="X362" s="234" t="str">
        <f ca="1">IF(Table1[[#This Row],[h_id]]="","",COUNTIF(Table1[h_id],Table1[[#This Row],[h_id]]))</f>
        <v/>
      </c>
      <c r="Y362" s="237" t="str">
        <f>IF(Table1[[#This Row],[Column12]]="","",Table1[[#This Row],[Qty]]*Table1[[#This Row],[Column13]])</f>
        <v/>
      </c>
      <c r="Z362" s="237" t="str">
        <f>IF(Table1[[#This Row],[h_hargasebelumdiskon]]="","",IF(Table1[[#This Row],[Column14]]="",0,Table1[[#This Row],[h_hargasebelumdiskon]]*Table1[[#This Row],[Column14]]))</f>
        <v/>
      </c>
      <c r="AA362" s="237" t="str">
        <f>IF(Table1[[#This Row],[h_hargasebelumdiskon]]="","",IF(Table1[[#This Row],[Column15]]="",0,(Table1[[#This Row],[h_hargasebelumdiskon]]-Table1[[#This Row],[h_disc 1]])*Table1[[#This Row],[Column15]]))</f>
        <v/>
      </c>
      <c r="AB362" s="237" t="str">
        <f>IF(Table1[[#This Row],[Column12]]="","",Table1[[#This Row],[h_disc 1]]+Table1[[#This Row],[h_disc 2]])</f>
        <v/>
      </c>
      <c r="AC362" s="237" t="str">
        <f>IF(Table1[[#This Row],[Column12]]="","",Table1[[#This Row],[h_hargasebelumdiskon]]-Table1[[#This Row],[h_diskon]])</f>
        <v/>
      </c>
      <c r="AD362" s="237" t="str">
        <f ca="1">IF(Table1[[#This Row],[//]]="","",SUMIF(Table1[h_id],Table1[[#This Row],[h_id]],Table1[h_hargasetelahdiskon]))</f>
        <v/>
      </c>
      <c r="AF362" s="237" t="str">
        <f>Table1[[#This Row],[Column12]]&amp;Table1[[#This Row],[Unit]]&amp;Table1[[#This Row],[Column13]]</f>
        <v/>
      </c>
      <c r="AG362"/>
      <c r="AH362"/>
      <c r="AI362"/>
    </row>
    <row r="363" spans="1:35">
      <c r="A363" s="234" t="str">
        <f ca="1">IF(Table1[[#This Row],[No. Invoice :]]="","",ROW())</f>
        <v/>
      </c>
      <c r="B363" s="234" t="str">
        <f ca="1">IF(Table1[[#This Row],[Column3]]="","",B$1+COUNT(INDIRECT("B$2:B"&amp;ROW()-1)))</f>
        <v/>
      </c>
      <c r="C363" s="235" t="str">
        <f>IF(Table1[[#This Row],[Column2]]="","",Table1[[#This Row],[Column2]]+C$1-1)</f>
        <v/>
      </c>
      <c r="E363" s="236"/>
      <c r="F363" s="234"/>
      <c r="G363" s="234" t="str">
        <f ca="1">IF(Table1[[#This Row],[h_No. Invoice :]]="","",CONCATENATE("AM"," ",Table1[[#This Row],[h_No. Invoice :]]))</f>
        <v/>
      </c>
      <c r="H363" s="234" t="str">
        <f>IF(Table1[[#This Row],[Column5]]="","",INDEX(Table2[Column1],MATCH(Table1[[#This Row],[Column5]],Table2[a],0)))</f>
        <v/>
      </c>
      <c r="I363" s="234" t="str">
        <f>IF(Table1[[#This Row],[Column3]]=0,"",CONCATENATE(UPPER(Table1[[#This Row],[Column3]])," ",Table1[[#This Row],[Column4]]))</f>
        <v xml:space="preserve"> </v>
      </c>
      <c r="J363" s="234" t="str">
        <f>IF(Table1[[#This Row],[Column5]]="","",INDEX(Table2[e],IF(Table1[[#This Row],[Column5]]="","",MATCH(Table1[[#This Row],[Column5]],Table2[a],0)),))</f>
        <v/>
      </c>
      <c r="K363" s="234"/>
      <c r="L363" s="234"/>
      <c r="O363" s="234" t="str">
        <f>IF(Table1[[#This Row],[h_Item Description]]="","",INDEX([1]!db[NB PAJAK],MATCH(Table1[[#This Row],[h_Item Description]],[1]!db[kode],0)))</f>
        <v/>
      </c>
      <c r="Q363" s="237"/>
      <c r="R363" s="238"/>
      <c r="S363" s="238"/>
      <c r="T363" s="237" t="str">
        <f>Table1[[#This Row],[h_hargasetelahdiskon]]</f>
        <v/>
      </c>
      <c r="V363" s="234"/>
      <c r="W363" s="234" t="str">
        <f ca="1">IF(Table1[[#This Row],[Column12]]="","",IF(Table1[[#This Row],[//]]="",INDIRECT(ADDRESS(ROW()-1,COLUMN())),Table1[[#This Row],[//]]))</f>
        <v/>
      </c>
      <c r="X363" s="234" t="str">
        <f ca="1">IF(Table1[[#This Row],[h_id]]="","",COUNTIF(Table1[h_id],Table1[[#This Row],[h_id]]))</f>
        <v/>
      </c>
      <c r="Y363" s="237" t="str">
        <f>IF(Table1[[#This Row],[Column12]]="","",Table1[[#This Row],[Qty]]*Table1[[#This Row],[Column13]])</f>
        <v/>
      </c>
      <c r="Z363" s="237" t="str">
        <f>IF(Table1[[#This Row],[h_hargasebelumdiskon]]="","",IF(Table1[[#This Row],[Column14]]="",0,Table1[[#This Row],[h_hargasebelumdiskon]]*Table1[[#This Row],[Column14]]))</f>
        <v/>
      </c>
      <c r="AA363" s="237" t="str">
        <f>IF(Table1[[#This Row],[h_hargasebelumdiskon]]="","",IF(Table1[[#This Row],[Column15]]="",0,(Table1[[#This Row],[h_hargasebelumdiskon]]-Table1[[#This Row],[h_disc 1]])*Table1[[#This Row],[Column15]]))</f>
        <v/>
      </c>
      <c r="AB363" s="237" t="str">
        <f>IF(Table1[[#This Row],[Column12]]="","",Table1[[#This Row],[h_disc 1]]+Table1[[#This Row],[h_disc 2]])</f>
        <v/>
      </c>
      <c r="AC363" s="237" t="str">
        <f>IF(Table1[[#This Row],[Column12]]="","",Table1[[#This Row],[h_hargasebelumdiskon]]-Table1[[#This Row],[h_diskon]])</f>
        <v/>
      </c>
      <c r="AD363" s="237" t="str">
        <f ca="1">IF(Table1[[#This Row],[//]]="","",SUMIF(Table1[h_id],Table1[[#This Row],[h_id]],Table1[h_hargasetelahdiskon]))</f>
        <v/>
      </c>
      <c r="AF363" s="237" t="str">
        <f>Table1[[#This Row],[Column12]]&amp;Table1[[#This Row],[Unit]]&amp;Table1[[#This Row],[Column13]]</f>
        <v/>
      </c>
      <c r="AG363"/>
      <c r="AH363"/>
      <c r="AI363"/>
    </row>
    <row r="364" spans="1:35">
      <c r="A364" s="234" t="str">
        <f ca="1">IF(Table1[[#This Row],[No. Invoice :]]="","",ROW())</f>
        <v/>
      </c>
      <c r="B364" s="234" t="str">
        <f ca="1">IF(Table1[[#This Row],[Column3]]="","",B$1+COUNT(INDIRECT("B$2:B"&amp;ROW()-1)))</f>
        <v/>
      </c>
      <c r="C364" s="235" t="str">
        <f>IF(Table1[[#This Row],[Column2]]="","",Table1[[#This Row],[Column2]]+C$1-1)</f>
        <v/>
      </c>
      <c r="E364" s="236"/>
      <c r="F364" s="234"/>
      <c r="G364" s="234" t="str">
        <f ca="1">IF(Table1[[#This Row],[h_No. Invoice :]]="","",CONCATENATE("AM"," ",Table1[[#This Row],[h_No. Invoice :]]))</f>
        <v/>
      </c>
      <c r="H364" s="234" t="str">
        <f>IF(Table1[[#This Row],[Column5]]="","",INDEX(Table2[Column1],MATCH(Table1[[#This Row],[Column5]],Table2[a],0)))</f>
        <v/>
      </c>
      <c r="I364" s="234" t="str">
        <f>IF(Table1[[#This Row],[Column3]]=0,"",CONCATENATE(UPPER(Table1[[#This Row],[Column3]])," ",Table1[[#This Row],[Column4]]))</f>
        <v xml:space="preserve"> </v>
      </c>
      <c r="J364" s="234" t="str">
        <f>IF(Table1[[#This Row],[Column5]]="","",INDEX(Table2[e],IF(Table1[[#This Row],[Column5]]="","",MATCH(Table1[[#This Row],[Column5]],Table2[a],0)),))</f>
        <v/>
      </c>
      <c r="K364" s="234"/>
      <c r="L364" s="234"/>
      <c r="O364" s="234" t="str">
        <f>IF(Table1[[#This Row],[h_Item Description]]="","",INDEX([1]!db[NB PAJAK],MATCH(Table1[[#This Row],[h_Item Description]],[1]!db[kode],0)))</f>
        <v/>
      </c>
      <c r="Q364" s="237"/>
      <c r="R364" s="238"/>
      <c r="S364" s="238"/>
      <c r="T364" s="237" t="str">
        <f>Table1[[#This Row],[h_hargasetelahdiskon]]</f>
        <v/>
      </c>
      <c r="V364" s="234"/>
      <c r="W364" s="234" t="str">
        <f ca="1">IF(Table1[[#This Row],[Column12]]="","",IF(Table1[[#This Row],[//]]="",INDIRECT(ADDRESS(ROW()-1,COLUMN())),Table1[[#This Row],[//]]))</f>
        <v/>
      </c>
      <c r="X364" s="234" t="str">
        <f ca="1">IF(Table1[[#This Row],[h_id]]="","",COUNTIF(Table1[h_id],Table1[[#This Row],[h_id]]))</f>
        <v/>
      </c>
      <c r="Y364" s="237" t="str">
        <f>IF(Table1[[#This Row],[Column12]]="","",Table1[[#This Row],[Qty]]*Table1[[#This Row],[Column13]])</f>
        <v/>
      </c>
      <c r="Z364" s="237" t="str">
        <f>IF(Table1[[#This Row],[h_hargasebelumdiskon]]="","",IF(Table1[[#This Row],[Column14]]="",0,Table1[[#This Row],[h_hargasebelumdiskon]]*Table1[[#This Row],[Column14]]))</f>
        <v/>
      </c>
      <c r="AA364" s="237" t="str">
        <f>IF(Table1[[#This Row],[h_hargasebelumdiskon]]="","",IF(Table1[[#This Row],[Column15]]="",0,(Table1[[#This Row],[h_hargasebelumdiskon]]-Table1[[#This Row],[h_disc 1]])*Table1[[#This Row],[Column15]]))</f>
        <v/>
      </c>
      <c r="AB364" s="237" t="str">
        <f>IF(Table1[[#This Row],[Column12]]="","",Table1[[#This Row],[h_disc 1]]+Table1[[#This Row],[h_disc 2]])</f>
        <v/>
      </c>
      <c r="AC364" s="237" t="str">
        <f>IF(Table1[[#This Row],[Column12]]="","",Table1[[#This Row],[h_hargasebelumdiskon]]-Table1[[#This Row],[h_diskon]])</f>
        <v/>
      </c>
      <c r="AD364" s="237" t="str">
        <f ca="1">IF(Table1[[#This Row],[//]]="","",SUMIF(Table1[h_id],Table1[[#This Row],[h_id]],Table1[h_hargasetelahdiskon]))</f>
        <v/>
      </c>
      <c r="AF364" s="237" t="str">
        <f>Table1[[#This Row],[Column12]]&amp;Table1[[#This Row],[Unit]]&amp;Table1[[#This Row],[Column13]]</f>
        <v/>
      </c>
      <c r="AG364"/>
      <c r="AH364"/>
      <c r="AI364"/>
    </row>
    <row r="365" spans="1:35">
      <c r="A365" s="234" t="str">
        <f ca="1">IF(Table1[[#This Row],[No. Invoice :]]="","",ROW())</f>
        <v/>
      </c>
      <c r="B365" s="234" t="str">
        <f ca="1">IF(Table1[[#This Row],[Column3]]="","",B$1+COUNT(INDIRECT("B$2:B"&amp;ROW()-1)))</f>
        <v/>
      </c>
      <c r="C365" s="235" t="str">
        <f>IF(Table1[[#This Row],[Column2]]="","",Table1[[#This Row],[Column2]]+C$1-1)</f>
        <v/>
      </c>
      <c r="E365" s="236"/>
      <c r="F365" s="234"/>
      <c r="G365" s="234" t="str">
        <f ca="1">IF(Table1[[#This Row],[h_No. Invoice :]]="","",CONCATENATE("AM"," ",Table1[[#This Row],[h_No. Invoice :]]))</f>
        <v/>
      </c>
      <c r="H365" s="234" t="str">
        <f>IF(Table1[[#This Row],[Column5]]="","",INDEX(Table2[Column1],MATCH(Table1[[#This Row],[Column5]],Table2[a],0)))</f>
        <v/>
      </c>
      <c r="I365" s="234" t="str">
        <f>IF(Table1[[#This Row],[Column3]]=0,"",CONCATENATE(UPPER(Table1[[#This Row],[Column3]])," ",Table1[[#This Row],[Column4]]))</f>
        <v xml:space="preserve"> </v>
      </c>
      <c r="J365" s="234" t="str">
        <f>IF(Table1[[#This Row],[Column5]]="","",INDEX(Table2[e],IF(Table1[[#This Row],[Column5]]="","",MATCH(Table1[[#This Row],[Column5]],Table2[a],0)),))</f>
        <v/>
      </c>
      <c r="K365" s="234"/>
      <c r="L365" s="234"/>
      <c r="O365" s="234" t="str">
        <f>IF(Table1[[#This Row],[h_Item Description]]="","",INDEX([1]!db[NB PAJAK],MATCH(Table1[[#This Row],[h_Item Description]],[1]!db[kode],0)))</f>
        <v/>
      </c>
      <c r="Q365" s="237"/>
      <c r="R365" s="238"/>
      <c r="S365" s="238"/>
      <c r="T365" s="237" t="str">
        <f>Table1[[#This Row],[h_hargasetelahdiskon]]</f>
        <v/>
      </c>
      <c r="V365" s="234"/>
      <c r="W365" s="234" t="str">
        <f ca="1">IF(Table1[[#This Row],[Column12]]="","",IF(Table1[[#This Row],[//]]="",INDIRECT(ADDRESS(ROW()-1,COLUMN())),Table1[[#This Row],[//]]))</f>
        <v/>
      </c>
      <c r="X365" s="234" t="str">
        <f ca="1">IF(Table1[[#This Row],[h_id]]="","",COUNTIF(Table1[h_id],Table1[[#This Row],[h_id]]))</f>
        <v/>
      </c>
      <c r="Y365" s="237" t="str">
        <f>IF(Table1[[#This Row],[Column12]]="","",Table1[[#This Row],[Qty]]*Table1[[#This Row],[Column13]])</f>
        <v/>
      </c>
      <c r="Z365" s="237" t="str">
        <f>IF(Table1[[#This Row],[h_hargasebelumdiskon]]="","",IF(Table1[[#This Row],[Column14]]="",0,Table1[[#This Row],[h_hargasebelumdiskon]]*Table1[[#This Row],[Column14]]))</f>
        <v/>
      </c>
      <c r="AA365" s="237" t="str">
        <f>IF(Table1[[#This Row],[h_hargasebelumdiskon]]="","",IF(Table1[[#This Row],[Column15]]="",0,(Table1[[#This Row],[h_hargasebelumdiskon]]-Table1[[#This Row],[h_disc 1]])*Table1[[#This Row],[Column15]]))</f>
        <v/>
      </c>
      <c r="AB365" s="237" t="str">
        <f>IF(Table1[[#This Row],[Column12]]="","",Table1[[#This Row],[h_disc 1]]+Table1[[#This Row],[h_disc 2]])</f>
        <v/>
      </c>
      <c r="AC365" s="237" t="str">
        <f>IF(Table1[[#This Row],[Column12]]="","",Table1[[#This Row],[h_hargasebelumdiskon]]-Table1[[#This Row],[h_diskon]])</f>
        <v/>
      </c>
      <c r="AD365" s="237" t="str">
        <f ca="1">IF(Table1[[#This Row],[//]]="","",SUMIF(Table1[h_id],Table1[[#This Row],[h_id]],Table1[h_hargasetelahdiskon]))</f>
        <v/>
      </c>
      <c r="AF365" s="237" t="str">
        <f>Table1[[#This Row],[Column12]]&amp;Table1[[#This Row],[Unit]]&amp;Table1[[#This Row],[Column13]]</f>
        <v/>
      </c>
      <c r="AG365"/>
      <c r="AH365"/>
      <c r="AI365"/>
    </row>
    <row r="366" spans="1:35">
      <c r="A366" s="234" t="str">
        <f ca="1">IF(Table1[[#This Row],[No. Invoice :]]="","",ROW())</f>
        <v/>
      </c>
      <c r="B366" s="234" t="str">
        <f ca="1">IF(Table1[[#This Row],[Column3]]="","",B$1+COUNT(INDIRECT("B$2:B"&amp;ROW()-1)))</f>
        <v/>
      </c>
      <c r="C366" s="235" t="str">
        <f>IF(Table1[[#This Row],[Column2]]="","",Table1[[#This Row],[Column2]]+C$1-1)</f>
        <v/>
      </c>
      <c r="E366" s="236"/>
      <c r="F366" s="234"/>
      <c r="G366" s="234" t="str">
        <f ca="1">IF(Table1[[#This Row],[h_No. Invoice :]]="","",CONCATENATE("AM"," ",Table1[[#This Row],[h_No. Invoice :]]))</f>
        <v/>
      </c>
      <c r="H366" s="234" t="str">
        <f>IF(Table1[[#This Row],[Column5]]="","",INDEX(Table2[Column1],MATCH(Table1[[#This Row],[Column5]],Table2[a],0)))</f>
        <v/>
      </c>
      <c r="I366" s="234" t="str">
        <f>IF(Table1[[#This Row],[Column3]]=0,"",CONCATENATE(UPPER(Table1[[#This Row],[Column3]])," ",Table1[[#This Row],[Column4]]))</f>
        <v xml:space="preserve"> </v>
      </c>
      <c r="J366" s="234" t="str">
        <f>IF(Table1[[#This Row],[Column5]]="","",INDEX(Table2[e],IF(Table1[[#This Row],[Column5]]="","",MATCH(Table1[[#This Row],[Column5]],Table2[a],0)),))</f>
        <v/>
      </c>
      <c r="K366" s="234"/>
      <c r="L366" s="234"/>
      <c r="O366" s="234" t="str">
        <f>IF(Table1[[#This Row],[h_Item Description]]="","",INDEX([1]!db[NB PAJAK],MATCH(Table1[[#This Row],[h_Item Description]],[1]!db[kode],0)))</f>
        <v/>
      </c>
      <c r="Q366" s="237"/>
      <c r="R366" s="238"/>
      <c r="S366" s="238"/>
      <c r="T366" s="237" t="str">
        <f>Table1[[#This Row],[h_hargasetelahdiskon]]</f>
        <v/>
      </c>
      <c r="V366" s="234"/>
      <c r="W366" s="234" t="str">
        <f ca="1">IF(Table1[[#This Row],[Column12]]="","",IF(Table1[[#This Row],[//]]="",INDIRECT(ADDRESS(ROW()-1,COLUMN())),Table1[[#This Row],[//]]))</f>
        <v/>
      </c>
      <c r="X366" s="234" t="str">
        <f ca="1">IF(Table1[[#This Row],[h_id]]="","",COUNTIF(Table1[h_id],Table1[[#This Row],[h_id]]))</f>
        <v/>
      </c>
      <c r="Y366" s="237" t="str">
        <f>IF(Table1[[#This Row],[Column12]]="","",Table1[[#This Row],[Qty]]*Table1[[#This Row],[Column13]])</f>
        <v/>
      </c>
      <c r="Z366" s="237" t="str">
        <f>IF(Table1[[#This Row],[h_hargasebelumdiskon]]="","",IF(Table1[[#This Row],[Column14]]="",0,Table1[[#This Row],[h_hargasebelumdiskon]]*Table1[[#This Row],[Column14]]))</f>
        <v/>
      </c>
      <c r="AA366" s="237" t="str">
        <f>IF(Table1[[#This Row],[h_hargasebelumdiskon]]="","",IF(Table1[[#This Row],[Column15]]="",0,(Table1[[#This Row],[h_hargasebelumdiskon]]-Table1[[#This Row],[h_disc 1]])*Table1[[#This Row],[Column15]]))</f>
        <v/>
      </c>
      <c r="AB366" s="237" t="str">
        <f>IF(Table1[[#This Row],[Column12]]="","",Table1[[#This Row],[h_disc 1]]+Table1[[#This Row],[h_disc 2]])</f>
        <v/>
      </c>
      <c r="AC366" s="237" t="str">
        <f>IF(Table1[[#This Row],[Column12]]="","",Table1[[#This Row],[h_hargasebelumdiskon]]-Table1[[#This Row],[h_diskon]])</f>
        <v/>
      </c>
      <c r="AD366" s="237" t="str">
        <f ca="1">IF(Table1[[#This Row],[//]]="","",SUMIF(Table1[h_id],Table1[[#This Row],[h_id]],Table1[h_hargasetelahdiskon]))</f>
        <v/>
      </c>
      <c r="AF366" s="237" t="str">
        <f>Table1[[#This Row],[Column12]]&amp;Table1[[#This Row],[Unit]]&amp;Table1[[#This Row],[Column13]]</f>
        <v/>
      </c>
      <c r="AG366"/>
      <c r="AH366"/>
      <c r="AI366"/>
    </row>
    <row r="367" spans="1:35">
      <c r="A367" s="234" t="str">
        <f ca="1">IF(Table1[[#This Row],[No. Invoice :]]="","",ROW())</f>
        <v/>
      </c>
      <c r="B367" s="234" t="str">
        <f ca="1">IF(Table1[[#This Row],[Column3]]="","",B$1+COUNT(INDIRECT("B$2:B"&amp;ROW()-1)))</f>
        <v/>
      </c>
      <c r="C367" s="235" t="str">
        <f>IF(Table1[[#This Row],[Column2]]="","",Table1[[#This Row],[Column2]]+C$1-1)</f>
        <v/>
      </c>
      <c r="E367" s="236"/>
      <c r="F367" s="234"/>
      <c r="G367" s="234" t="str">
        <f ca="1">IF(Table1[[#This Row],[h_No. Invoice :]]="","",CONCATENATE("AM"," ",Table1[[#This Row],[h_No. Invoice :]]))</f>
        <v/>
      </c>
      <c r="H367" s="234" t="str">
        <f>IF(Table1[[#This Row],[Column5]]="","",INDEX(Table2[Column1],MATCH(Table1[[#This Row],[Column5]],Table2[a],0)))</f>
        <v/>
      </c>
      <c r="I367" s="234" t="str">
        <f>IF(Table1[[#This Row],[Column3]]=0,"",CONCATENATE(UPPER(Table1[[#This Row],[Column3]])," ",Table1[[#This Row],[Column4]]))</f>
        <v xml:space="preserve"> </v>
      </c>
      <c r="J367" s="234" t="str">
        <f>IF(Table1[[#This Row],[Column5]]="","",INDEX(Table2[e],IF(Table1[[#This Row],[Column5]]="","",MATCH(Table1[[#This Row],[Column5]],Table2[a],0)),))</f>
        <v/>
      </c>
      <c r="K367" s="234"/>
      <c r="L367" s="234"/>
      <c r="O367" s="234" t="str">
        <f>IF(Table1[[#This Row],[h_Item Description]]="","",INDEX([1]!db[NB PAJAK],MATCH(Table1[[#This Row],[h_Item Description]],[1]!db[kode],0)))</f>
        <v/>
      </c>
      <c r="Q367" s="237"/>
      <c r="R367" s="238"/>
      <c r="S367" s="238"/>
      <c r="T367" s="237" t="str">
        <f>Table1[[#This Row],[h_hargasetelahdiskon]]</f>
        <v/>
      </c>
      <c r="V367" s="234"/>
      <c r="W367" s="234" t="str">
        <f ca="1">IF(Table1[[#This Row],[Column12]]="","",IF(Table1[[#This Row],[//]]="",INDIRECT(ADDRESS(ROW()-1,COLUMN())),Table1[[#This Row],[//]]))</f>
        <v/>
      </c>
      <c r="X367" s="234" t="str">
        <f ca="1">IF(Table1[[#This Row],[h_id]]="","",COUNTIF(Table1[h_id],Table1[[#This Row],[h_id]]))</f>
        <v/>
      </c>
      <c r="Y367" s="237" t="str">
        <f>IF(Table1[[#This Row],[Column12]]="","",Table1[[#This Row],[Qty]]*Table1[[#This Row],[Column13]])</f>
        <v/>
      </c>
      <c r="Z367" s="237" t="str">
        <f>IF(Table1[[#This Row],[h_hargasebelumdiskon]]="","",IF(Table1[[#This Row],[Column14]]="",0,Table1[[#This Row],[h_hargasebelumdiskon]]*Table1[[#This Row],[Column14]]))</f>
        <v/>
      </c>
      <c r="AA367" s="237" t="str">
        <f>IF(Table1[[#This Row],[h_hargasebelumdiskon]]="","",IF(Table1[[#This Row],[Column15]]="",0,(Table1[[#This Row],[h_hargasebelumdiskon]]-Table1[[#This Row],[h_disc 1]])*Table1[[#This Row],[Column15]]))</f>
        <v/>
      </c>
      <c r="AB367" s="237" t="str">
        <f>IF(Table1[[#This Row],[Column12]]="","",Table1[[#This Row],[h_disc 1]]+Table1[[#This Row],[h_disc 2]])</f>
        <v/>
      </c>
      <c r="AC367" s="237" t="str">
        <f>IF(Table1[[#This Row],[Column12]]="","",Table1[[#This Row],[h_hargasebelumdiskon]]-Table1[[#This Row],[h_diskon]])</f>
        <v/>
      </c>
      <c r="AD367" s="237" t="str">
        <f ca="1">IF(Table1[[#This Row],[//]]="","",SUMIF(Table1[h_id],Table1[[#This Row],[h_id]],Table1[h_hargasetelahdiskon]))</f>
        <v/>
      </c>
      <c r="AF367" s="237" t="str">
        <f>Table1[[#This Row],[Column12]]&amp;Table1[[#This Row],[Unit]]&amp;Table1[[#This Row],[Column13]]</f>
        <v/>
      </c>
      <c r="AG367"/>
      <c r="AH367"/>
      <c r="AI367"/>
    </row>
    <row r="368" spans="1:35">
      <c r="A368" s="234" t="str">
        <f ca="1">IF(Table1[[#This Row],[No. Invoice :]]="","",ROW())</f>
        <v/>
      </c>
      <c r="B368" s="234" t="str">
        <f ca="1">IF(Table1[[#This Row],[Column3]]="","",B$1+COUNT(INDIRECT("B$2:B"&amp;ROW()-1)))</f>
        <v/>
      </c>
      <c r="C368" s="235" t="str">
        <f>IF(Table1[[#This Row],[Column2]]="","",Table1[[#This Row],[Column2]]+C$1-1)</f>
        <v/>
      </c>
      <c r="E368" s="236"/>
      <c r="F368" s="234"/>
      <c r="G368" s="234" t="str">
        <f ca="1">IF(Table1[[#This Row],[h_No. Invoice :]]="","",CONCATENATE("AM"," ",Table1[[#This Row],[h_No. Invoice :]]))</f>
        <v/>
      </c>
      <c r="H368" s="234" t="str">
        <f>IF(Table1[[#This Row],[Column5]]="","",INDEX(Table2[Column1],MATCH(Table1[[#This Row],[Column5]],Table2[a],0)))</f>
        <v/>
      </c>
      <c r="I368" s="234" t="str">
        <f>IF(Table1[[#This Row],[Column3]]=0,"",CONCATENATE(UPPER(Table1[[#This Row],[Column3]])," ",Table1[[#This Row],[Column4]]))</f>
        <v xml:space="preserve"> </v>
      </c>
      <c r="J368" s="234" t="str">
        <f>IF(Table1[[#This Row],[Column5]]="","",INDEX(Table2[e],IF(Table1[[#This Row],[Column5]]="","",MATCH(Table1[[#This Row],[Column5]],Table2[a],0)),))</f>
        <v/>
      </c>
      <c r="K368" s="234"/>
      <c r="L368" s="234"/>
      <c r="O368" s="234" t="str">
        <f>IF(Table1[[#This Row],[h_Item Description]]="","",INDEX([1]!db[NB PAJAK],MATCH(Table1[[#This Row],[h_Item Description]],[1]!db[kode],0)))</f>
        <v/>
      </c>
      <c r="Q368" s="237"/>
      <c r="R368" s="238"/>
      <c r="S368" s="238"/>
      <c r="T368" s="237" t="str">
        <f>Table1[[#This Row],[h_hargasetelahdiskon]]</f>
        <v/>
      </c>
      <c r="V368" s="234"/>
      <c r="W368" s="234" t="str">
        <f ca="1">IF(Table1[[#This Row],[Column12]]="","",IF(Table1[[#This Row],[//]]="",INDIRECT(ADDRESS(ROW()-1,COLUMN())),Table1[[#This Row],[//]]))</f>
        <v/>
      </c>
      <c r="X368" s="234" t="str">
        <f ca="1">IF(Table1[[#This Row],[h_id]]="","",COUNTIF(Table1[h_id],Table1[[#This Row],[h_id]]))</f>
        <v/>
      </c>
      <c r="Y368" s="237" t="str">
        <f>IF(Table1[[#This Row],[Column12]]="","",Table1[[#This Row],[Qty]]*Table1[[#This Row],[Column13]])</f>
        <v/>
      </c>
      <c r="Z368" s="237" t="str">
        <f>IF(Table1[[#This Row],[h_hargasebelumdiskon]]="","",IF(Table1[[#This Row],[Column14]]="",0,Table1[[#This Row],[h_hargasebelumdiskon]]*Table1[[#This Row],[Column14]]))</f>
        <v/>
      </c>
      <c r="AA368" s="237" t="str">
        <f>IF(Table1[[#This Row],[h_hargasebelumdiskon]]="","",IF(Table1[[#This Row],[Column15]]="",0,(Table1[[#This Row],[h_hargasebelumdiskon]]-Table1[[#This Row],[h_disc 1]])*Table1[[#This Row],[Column15]]))</f>
        <v/>
      </c>
      <c r="AB368" s="237" t="str">
        <f>IF(Table1[[#This Row],[Column12]]="","",Table1[[#This Row],[h_disc 1]]+Table1[[#This Row],[h_disc 2]])</f>
        <v/>
      </c>
      <c r="AC368" s="237" t="str">
        <f>IF(Table1[[#This Row],[Column12]]="","",Table1[[#This Row],[h_hargasebelumdiskon]]-Table1[[#This Row],[h_diskon]])</f>
        <v/>
      </c>
      <c r="AD368" s="237" t="str">
        <f ca="1">IF(Table1[[#This Row],[//]]="","",SUMIF(Table1[h_id],Table1[[#This Row],[h_id]],Table1[h_hargasetelahdiskon]))</f>
        <v/>
      </c>
      <c r="AF368" s="237" t="str">
        <f>Table1[[#This Row],[Column12]]&amp;Table1[[#This Row],[Unit]]&amp;Table1[[#This Row],[Column13]]</f>
        <v/>
      </c>
      <c r="AG368"/>
      <c r="AH368"/>
      <c r="AI368"/>
    </row>
    <row r="369" spans="1:35">
      <c r="A369" s="234" t="str">
        <f ca="1">IF(Table1[[#This Row],[No. Invoice :]]="","",ROW())</f>
        <v/>
      </c>
      <c r="B369" s="234" t="str">
        <f ca="1">IF(Table1[[#This Row],[Column3]]="","",B$1+COUNT(INDIRECT("B$2:B"&amp;ROW()-1)))</f>
        <v/>
      </c>
      <c r="C369" s="235" t="str">
        <f>IF(Table1[[#This Row],[Column2]]="","",Table1[[#This Row],[Column2]]+C$1-1)</f>
        <v/>
      </c>
      <c r="E369" s="236"/>
      <c r="F369" s="234"/>
      <c r="G369" s="234" t="str">
        <f ca="1">IF(Table1[[#This Row],[h_No. Invoice :]]="","",CONCATENATE("AM"," ",Table1[[#This Row],[h_No. Invoice :]]))</f>
        <v/>
      </c>
      <c r="H369" s="234" t="str">
        <f>IF(Table1[[#This Row],[Column5]]="","",INDEX(Table2[Column1],MATCH(Table1[[#This Row],[Column5]],Table2[a],0)))</f>
        <v/>
      </c>
      <c r="I369" s="234" t="str">
        <f>IF(Table1[[#This Row],[Column3]]=0,"",CONCATENATE(UPPER(Table1[[#This Row],[Column3]])," ",Table1[[#This Row],[Column4]]))</f>
        <v xml:space="preserve"> </v>
      </c>
      <c r="J369" s="234" t="str">
        <f>IF(Table1[[#This Row],[Column5]]="","",INDEX(Table2[e],IF(Table1[[#This Row],[Column5]]="","",MATCH(Table1[[#This Row],[Column5]],Table2[a],0)),))</f>
        <v/>
      </c>
      <c r="K369" s="234"/>
      <c r="L369" s="234"/>
      <c r="O369" s="234" t="str">
        <f>IF(Table1[[#This Row],[h_Item Description]]="","",INDEX([1]!db[NB PAJAK],MATCH(Table1[[#This Row],[h_Item Description]],[1]!db[kode],0)))</f>
        <v/>
      </c>
      <c r="Q369" s="237"/>
      <c r="R369" s="238"/>
      <c r="S369" s="238"/>
      <c r="T369" s="237" t="str">
        <f>Table1[[#This Row],[h_hargasetelahdiskon]]</f>
        <v/>
      </c>
      <c r="V369" s="234"/>
      <c r="W369" s="234" t="str">
        <f ca="1">IF(Table1[[#This Row],[Column12]]="","",IF(Table1[[#This Row],[//]]="",INDIRECT(ADDRESS(ROW()-1,COLUMN())),Table1[[#This Row],[//]]))</f>
        <v/>
      </c>
      <c r="X369" s="234" t="str">
        <f ca="1">IF(Table1[[#This Row],[h_id]]="","",COUNTIF(Table1[h_id],Table1[[#This Row],[h_id]]))</f>
        <v/>
      </c>
      <c r="Y369" s="237" t="str">
        <f>IF(Table1[[#This Row],[Column12]]="","",Table1[[#This Row],[Qty]]*Table1[[#This Row],[Column13]])</f>
        <v/>
      </c>
      <c r="Z369" s="237" t="str">
        <f>IF(Table1[[#This Row],[h_hargasebelumdiskon]]="","",IF(Table1[[#This Row],[Column14]]="",0,Table1[[#This Row],[h_hargasebelumdiskon]]*Table1[[#This Row],[Column14]]))</f>
        <v/>
      </c>
      <c r="AA369" s="237" t="str">
        <f>IF(Table1[[#This Row],[h_hargasebelumdiskon]]="","",IF(Table1[[#This Row],[Column15]]="",0,(Table1[[#This Row],[h_hargasebelumdiskon]]-Table1[[#This Row],[h_disc 1]])*Table1[[#This Row],[Column15]]))</f>
        <v/>
      </c>
      <c r="AB369" s="237" t="str">
        <f>IF(Table1[[#This Row],[Column12]]="","",Table1[[#This Row],[h_disc 1]]+Table1[[#This Row],[h_disc 2]])</f>
        <v/>
      </c>
      <c r="AC369" s="237" t="str">
        <f>IF(Table1[[#This Row],[Column12]]="","",Table1[[#This Row],[h_hargasebelumdiskon]]-Table1[[#This Row],[h_diskon]])</f>
        <v/>
      </c>
      <c r="AD369" s="237" t="str">
        <f ca="1">IF(Table1[[#This Row],[//]]="","",SUMIF(Table1[h_id],Table1[[#This Row],[h_id]],Table1[h_hargasetelahdiskon]))</f>
        <v/>
      </c>
      <c r="AF369" s="237" t="str">
        <f>Table1[[#This Row],[Column12]]&amp;Table1[[#This Row],[Unit]]&amp;Table1[[#This Row],[Column13]]</f>
        <v/>
      </c>
      <c r="AG369"/>
      <c r="AH369"/>
      <c r="AI369"/>
    </row>
    <row r="370" spans="1:35">
      <c r="A370" s="234" t="str">
        <f ca="1">IF(Table1[[#This Row],[No. Invoice :]]="","",ROW())</f>
        <v/>
      </c>
      <c r="B370" s="245" t="str">
        <f ca="1">IF(Table1[[#This Row],[Column3]]="","",B$1+COUNT(INDIRECT("B$2:B"&amp;ROW()-1)))</f>
        <v/>
      </c>
      <c r="C370" s="235" t="str">
        <f>IF(Table1[[#This Row],[Column2]]="","",Table1[[#This Row],[Column2]]+C$1-1)</f>
        <v/>
      </c>
      <c r="D370" s="246"/>
      <c r="E370" s="236"/>
      <c r="F370" s="234"/>
      <c r="G370" s="234" t="str">
        <f ca="1">IF(Table1[[#This Row],[h_No. Invoice :]]="","",CONCATENATE("AM"," ",Table1[[#This Row],[h_No. Invoice :]]))</f>
        <v/>
      </c>
      <c r="H370" s="245" t="str">
        <f>IF(Table1[[#This Row],[Column5]]="","",INDEX(Table2[Column1],MATCH(Table1[[#This Row],[Column5]],Table2[a],0)))</f>
        <v/>
      </c>
      <c r="I370" s="234" t="str">
        <f>IF(Table1[[#This Row],[Column3]]=0,"",CONCATENATE(UPPER(Table1[[#This Row],[Column3]])," ",Table1[[#This Row],[Column4]]))</f>
        <v xml:space="preserve"> </v>
      </c>
      <c r="J370" s="234" t="str">
        <f>IF(Table1[[#This Row],[Column5]]="","",INDEX(Table2[e],IF(Table1[[#This Row],[Column5]]="","",MATCH(Table1[[#This Row],[Column5]],Table2[a],0)),))</f>
        <v/>
      </c>
      <c r="K370" s="234"/>
      <c r="L370" s="234"/>
      <c r="O370" s="245" t="str">
        <f>IF(Table1[[#This Row],[h_Item Description]]="","",INDEX([1]!db[NB PAJAK],MATCH(Table1[[#This Row],[h_Item Description]],[1]!db[kode],0)))</f>
        <v/>
      </c>
      <c r="Q370" s="237"/>
      <c r="R370" s="238"/>
      <c r="S370" s="238"/>
      <c r="T370" s="248" t="str">
        <f>Table1[[#This Row],[h_hargasetelahdiskon]]</f>
        <v/>
      </c>
      <c r="V370" s="234"/>
      <c r="W370" s="234" t="str">
        <f ca="1">IF(Table1[[#This Row],[Column12]]="","",IF(Table1[[#This Row],[//]]="",INDIRECT(ADDRESS(ROW()-1,COLUMN())),Table1[[#This Row],[//]]))</f>
        <v/>
      </c>
      <c r="X370" s="234" t="str">
        <f ca="1">IF(Table1[[#This Row],[h_id]]="","",COUNTIF(Table1[h_id],Table1[[#This Row],[h_id]]))</f>
        <v/>
      </c>
      <c r="Y370" s="237" t="str">
        <f>IF(Table1[[#This Row],[Column12]]="","",Table1[[#This Row],[Qty]]*Table1[[#This Row],[Column13]])</f>
        <v/>
      </c>
      <c r="Z370" s="248" t="str">
        <f>IF(Table1[[#This Row],[h_hargasebelumdiskon]]="","",IF(Table1[[#This Row],[Column14]]="",0,Table1[[#This Row],[h_hargasebelumdiskon]]*Table1[[#This Row],[Column14]]))</f>
        <v/>
      </c>
      <c r="AA370" s="248" t="str">
        <f>IF(Table1[[#This Row],[h_hargasebelumdiskon]]="","",IF(Table1[[#This Row],[Column15]]="",0,(Table1[[#This Row],[h_hargasebelumdiskon]]-Table1[[#This Row],[h_disc 1]])*Table1[[#This Row],[Column15]]))</f>
        <v/>
      </c>
      <c r="AB370" s="237" t="str">
        <f>IF(Table1[[#This Row],[Column12]]="","",Table1[[#This Row],[h_disc 1]]+Table1[[#This Row],[h_disc 2]])</f>
        <v/>
      </c>
      <c r="AC370" s="237" t="str">
        <f>IF(Table1[[#This Row],[Column12]]="","",Table1[[#This Row],[h_hargasebelumdiskon]]-Table1[[#This Row],[h_diskon]])</f>
        <v/>
      </c>
      <c r="AD370" s="237" t="str">
        <f ca="1">IF(Table1[[#This Row],[//]]="","",SUMIF(Table1[h_id],Table1[[#This Row],[h_id]],Table1[h_hargasetelahdiskon]))</f>
        <v/>
      </c>
      <c r="AF370" s="237" t="str">
        <f>Table1[[#This Row],[Column12]]&amp;Table1[[#This Row],[Unit]]&amp;Table1[[#This Row],[Column13]]</f>
        <v/>
      </c>
      <c r="AG370"/>
      <c r="AH370"/>
      <c r="AI370"/>
    </row>
    <row r="371" spans="1:35">
      <c r="A371" s="234" t="str">
        <f ca="1">IF(Table1[[#This Row],[No. Invoice :]]="","",ROW())</f>
        <v/>
      </c>
      <c r="B371" s="245" t="str">
        <f ca="1">IF(Table1[[#This Row],[Column3]]="","",B$1+COUNT(INDIRECT("B$2:B"&amp;ROW()-1)))</f>
        <v/>
      </c>
      <c r="C371" s="235" t="str">
        <f>IF(Table1[[#This Row],[Column2]]="","",Table1[[#This Row],[Column2]]+C$1-1)</f>
        <v/>
      </c>
      <c r="D371" s="246"/>
      <c r="E371" s="236"/>
      <c r="F371" s="234"/>
      <c r="G371" s="234" t="str">
        <f ca="1">IF(Table1[[#This Row],[h_No. Invoice :]]="","",CONCATENATE("AM"," ",Table1[[#This Row],[h_No. Invoice :]]))</f>
        <v/>
      </c>
      <c r="H371" s="245" t="str">
        <f>IF(Table1[[#This Row],[Column5]]="","",INDEX(Table2[Column1],MATCH(Table1[[#This Row],[Column5]],Table2[a],0)))</f>
        <v/>
      </c>
      <c r="I371" s="234" t="str">
        <f>IF(Table1[[#This Row],[Column3]]=0,"",CONCATENATE(UPPER(Table1[[#This Row],[Column3]])," ",Table1[[#This Row],[Column4]]))</f>
        <v xml:space="preserve"> </v>
      </c>
      <c r="J371" s="234" t="str">
        <f>IF(Table1[[#This Row],[Column5]]="","",INDEX(Table2[e],IF(Table1[[#This Row],[Column5]]="","",MATCH(Table1[[#This Row],[Column5]],Table2[a],0)),))</f>
        <v/>
      </c>
      <c r="K371" s="234"/>
      <c r="L371" s="234"/>
      <c r="O371" s="245" t="str">
        <f>IF(Table1[[#This Row],[h_Item Description]]="","",INDEX([1]!db[NB PAJAK],MATCH(Table1[[#This Row],[h_Item Description]],[1]!db[kode],0)))</f>
        <v/>
      </c>
      <c r="Q371" s="237"/>
      <c r="R371" s="238"/>
      <c r="S371" s="238"/>
      <c r="T371" s="248" t="str">
        <f>Table1[[#This Row],[h_hargasetelahdiskon]]</f>
        <v/>
      </c>
      <c r="V371" s="234"/>
      <c r="W371" s="234" t="str">
        <f ca="1">IF(Table1[[#This Row],[Column12]]="","",IF(Table1[[#This Row],[//]]="",INDIRECT(ADDRESS(ROW()-1,COLUMN())),Table1[[#This Row],[//]]))</f>
        <v/>
      </c>
      <c r="X371" s="234" t="str">
        <f ca="1">IF(Table1[[#This Row],[h_id]]="","",COUNTIF(Table1[h_id],Table1[[#This Row],[h_id]]))</f>
        <v/>
      </c>
      <c r="Y371" s="237" t="str">
        <f>IF(Table1[[#This Row],[Column12]]="","",Table1[[#This Row],[Qty]]*Table1[[#This Row],[Column13]])</f>
        <v/>
      </c>
      <c r="Z371" s="248" t="str">
        <f>IF(Table1[[#This Row],[h_hargasebelumdiskon]]="","",IF(Table1[[#This Row],[Column14]]="",0,Table1[[#This Row],[h_hargasebelumdiskon]]*Table1[[#This Row],[Column14]]))</f>
        <v/>
      </c>
      <c r="AA371" s="248" t="str">
        <f>IF(Table1[[#This Row],[h_hargasebelumdiskon]]="","",IF(Table1[[#This Row],[Column15]]="",0,(Table1[[#This Row],[h_hargasebelumdiskon]]-Table1[[#This Row],[h_disc 1]])*Table1[[#This Row],[Column15]]))</f>
        <v/>
      </c>
      <c r="AB371" s="237" t="str">
        <f>IF(Table1[[#This Row],[Column12]]="","",Table1[[#This Row],[h_disc 1]]+Table1[[#This Row],[h_disc 2]])</f>
        <v/>
      </c>
      <c r="AC371" s="237" t="str">
        <f>IF(Table1[[#This Row],[Column12]]="","",Table1[[#This Row],[h_hargasebelumdiskon]]-Table1[[#This Row],[h_diskon]])</f>
        <v/>
      </c>
      <c r="AD371" s="237" t="str">
        <f ca="1">IF(Table1[[#This Row],[//]]="","",SUMIF(Table1[h_id],Table1[[#This Row],[h_id]],Table1[h_hargasetelahdiskon]))</f>
        <v/>
      </c>
      <c r="AF371" s="237" t="str">
        <f>Table1[[#This Row],[Column12]]&amp;Table1[[#This Row],[Unit]]&amp;Table1[[#This Row],[Column13]]</f>
        <v/>
      </c>
      <c r="AG371"/>
      <c r="AH371"/>
      <c r="AI371"/>
    </row>
    <row r="372" spans="1:35">
      <c r="A372" s="234" t="str">
        <f ca="1">IF(Table1[[#This Row],[No. Invoice :]]="","",ROW())</f>
        <v/>
      </c>
      <c r="B372" s="245" t="str">
        <f ca="1">IF(Table1[[#This Row],[Column3]]="","",B$1+COUNT(INDIRECT("B$2:B"&amp;ROW()-1)))</f>
        <v/>
      </c>
      <c r="C372" s="235" t="str">
        <f>IF(Table1[[#This Row],[Column2]]="","",Table1[[#This Row],[Column2]]+C$1-1)</f>
        <v/>
      </c>
      <c r="D372" s="246"/>
      <c r="E372" s="236"/>
      <c r="F372" s="234"/>
      <c r="G372" s="234" t="str">
        <f ca="1">IF(Table1[[#This Row],[h_No. Invoice :]]="","",CONCATENATE("AM"," ",Table1[[#This Row],[h_No. Invoice :]]))</f>
        <v/>
      </c>
      <c r="H372" s="245" t="str">
        <f>IF(Table1[[#This Row],[Column5]]="","",INDEX(Table2[Column1],MATCH(Table1[[#This Row],[Column5]],Table2[a],0)))</f>
        <v/>
      </c>
      <c r="I372" s="234" t="str">
        <f>IF(Table1[[#This Row],[Column3]]=0,"",CONCATENATE(UPPER(Table1[[#This Row],[Column3]])," ",Table1[[#This Row],[Column4]]))</f>
        <v xml:space="preserve"> </v>
      </c>
      <c r="J372" s="234" t="str">
        <f>IF(Table1[[#This Row],[Column5]]="","",INDEX(Table2[e],IF(Table1[[#This Row],[Column5]]="","",MATCH(Table1[[#This Row],[Column5]],Table2[a],0)),))</f>
        <v/>
      </c>
      <c r="K372" s="234"/>
      <c r="L372" s="234"/>
      <c r="O372" s="245" t="str">
        <f>IF(Table1[[#This Row],[h_Item Description]]="","",INDEX([1]!db[NB PAJAK],MATCH(Table1[[#This Row],[h_Item Description]],[1]!db[kode],0)))</f>
        <v/>
      </c>
      <c r="Q372" s="237"/>
      <c r="R372" s="238"/>
      <c r="S372" s="238"/>
      <c r="T372" s="248" t="str">
        <f>Table1[[#This Row],[h_hargasetelahdiskon]]</f>
        <v/>
      </c>
      <c r="V372" s="234"/>
      <c r="W372" s="234" t="str">
        <f ca="1">IF(Table1[[#This Row],[Column12]]="","",IF(Table1[[#This Row],[//]]="",INDIRECT(ADDRESS(ROW()-1,COLUMN())),Table1[[#This Row],[//]]))</f>
        <v/>
      </c>
      <c r="X372" s="234" t="str">
        <f ca="1">IF(Table1[[#This Row],[h_id]]="","",COUNTIF(Table1[h_id],Table1[[#This Row],[h_id]]))</f>
        <v/>
      </c>
      <c r="Y372" s="237" t="str">
        <f>IF(Table1[[#This Row],[Column12]]="","",Table1[[#This Row],[Qty]]*Table1[[#This Row],[Column13]])</f>
        <v/>
      </c>
      <c r="Z372" s="248" t="str">
        <f>IF(Table1[[#This Row],[h_hargasebelumdiskon]]="","",IF(Table1[[#This Row],[Column14]]="",0,Table1[[#This Row],[h_hargasebelumdiskon]]*Table1[[#This Row],[Column14]]))</f>
        <v/>
      </c>
      <c r="AA372" s="248" t="str">
        <f>IF(Table1[[#This Row],[h_hargasebelumdiskon]]="","",IF(Table1[[#This Row],[Column15]]="",0,(Table1[[#This Row],[h_hargasebelumdiskon]]-Table1[[#This Row],[h_disc 1]])*Table1[[#This Row],[Column15]]))</f>
        <v/>
      </c>
      <c r="AB372" s="237" t="str">
        <f>IF(Table1[[#This Row],[Column12]]="","",Table1[[#This Row],[h_disc 1]]+Table1[[#This Row],[h_disc 2]])</f>
        <v/>
      </c>
      <c r="AC372" s="237" t="str">
        <f>IF(Table1[[#This Row],[Column12]]="","",Table1[[#This Row],[h_hargasebelumdiskon]]-Table1[[#This Row],[h_diskon]])</f>
        <v/>
      </c>
      <c r="AD372" s="237" t="str">
        <f ca="1">IF(Table1[[#This Row],[//]]="","",SUMIF(Table1[h_id],Table1[[#This Row],[h_id]],Table1[h_hargasetelahdiskon]))</f>
        <v/>
      </c>
      <c r="AF372" s="237" t="str">
        <f>Table1[[#This Row],[Column12]]&amp;Table1[[#This Row],[Unit]]&amp;Table1[[#This Row],[Column13]]</f>
        <v/>
      </c>
      <c r="AG372"/>
      <c r="AH372"/>
      <c r="AI372"/>
    </row>
    <row r="373" spans="1:35">
      <c r="A373" s="234" t="str">
        <f ca="1">IF(Table1[[#This Row],[No. Invoice :]]="","",ROW())</f>
        <v/>
      </c>
      <c r="B373" s="245" t="str">
        <f ca="1">IF(Table1[[#This Row],[Column3]]="","",B$1+COUNT(INDIRECT("B$2:B"&amp;ROW()-1)))</f>
        <v/>
      </c>
      <c r="C373" s="235" t="str">
        <f>IF(Table1[[#This Row],[Column2]]="","",Table1[[#This Row],[Column2]]+C$1-1)</f>
        <v/>
      </c>
      <c r="D373" s="246"/>
      <c r="E373" s="236"/>
      <c r="F373" s="234"/>
      <c r="G373" s="234" t="str">
        <f ca="1">IF(Table1[[#This Row],[h_No. Invoice :]]="","",CONCATENATE("AM"," ",Table1[[#This Row],[h_No. Invoice :]]))</f>
        <v/>
      </c>
      <c r="H373" s="245" t="str">
        <f>IF(Table1[[#This Row],[Column5]]="","",INDEX(Table2[Column1],MATCH(Table1[[#This Row],[Column5]],Table2[a],0)))</f>
        <v/>
      </c>
      <c r="I373" s="234" t="str">
        <f>IF(Table1[[#This Row],[Column3]]=0,"",CONCATENATE(UPPER(Table1[[#This Row],[Column3]])," ",Table1[[#This Row],[Column4]]))</f>
        <v xml:space="preserve"> </v>
      </c>
      <c r="J373" s="234" t="str">
        <f>IF(Table1[[#This Row],[Column5]]="","",INDEX(Table2[e],IF(Table1[[#This Row],[Column5]]="","",MATCH(Table1[[#This Row],[Column5]],Table2[a],0)),))</f>
        <v/>
      </c>
      <c r="K373" s="234"/>
      <c r="L373" s="234"/>
      <c r="O373" s="245" t="str">
        <f>IF(Table1[[#This Row],[h_Item Description]]="","",INDEX([1]!db[NB PAJAK],MATCH(Table1[[#This Row],[h_Item Description]],[1]!db[kode],0)))</f>
        <v/>
      </c>
      <c r="Q373" s="237"/>
      <c r="R373" s="238"/>
      <c r="S373" s="238"/>
      <c r="T373" s="248" t="str">
        <f>Table1[[#This Row],[h_hargasetelahdiskon]]</f>
        <v/>
      </c>
      <c r="V373" s="234"/>
      <c r="W373" s="234" t="str">
        <f ca="1">IF(Table1[[#This Row],[Column12]]="","",IF(Table1[[#This Row],[//]]="",INDIRECT(ADDRESS(ROW()-1,COLUMN())),Table1[[#This Row],[//]]))</f>
        <v/>
      </c>
      <c r="X373" s="234" t="str">
        <f ca="1">IF(Table1[[#This Row],[h_id]]="","",COUNTIF(Table1[h_id],Table1[[#This Row],[h_id]]))</f>
        <v/>
      </c>
      <c r="Y373" s="237" t="str">
        <f>IF(Table1[[#This Row],[Column12]]="","",Table1[[#This Row],[Qty]]*Table1[[#This Row],[Column13]])</f>
        <v/>
      </c>
      <c r="Z373" s="248" t="str">
        <f>IF(Table1[[#This Row],[h_hargasebelumdiskon]]="","",IF(Table1[[#This Row],[Column14]]="",0,Table1[[#This Row],[h_hargasebelumdiskon]]*Table1[[#This Row],[Column14]]))</f>
        <v/>
      </c>
      <c r="AA373" s="248" t="str">
        <f>IF(Table1[[#This Row],[h_hargasebelumdiskon]]="","",IF(Table1[[#This Row],[Column15]]="",0,(Table1[[#This Row],[h_hargasebelumdiskon]]-Table1[[#This Row],[h_disc 1]])*Table1[[#This Row],[Column15]]))</f>
        <v/>
      </c>
      <c r="AB373" s="237" t="str">
        <f>IF(Table1[[#This Row],[Column12]]="","",Table1[[#This Row],[h_disc 1]]+Table1[[#This Row],[h_disc 2]])</f>
        <v/>
      </c>
      <c r="AC373" s="237" t="str">
        <f>IF(Table1[[#This Row],[Column12]]="","",Table1[[#This Row],[h_hargasebelumdiskon]]-Table1[[#This Row],[h_diskon]])</f>
        <v/>
      </c>
      <c r="AD373" s="237" t="str">
        <f ca="1">IF(Table1[[#This Row],[//]]="","",SUMIF(Table1[h_id],Table1[[#This Row],[h_id]],Table1[h_hargasetelahdiskon]))</f>
        <v/>
      </c>
      <c r="AF373" s="237" t="str">
        <f>Table1[[#This Row],[Column12]]&amp;Table1[[#This Row],[Unit]]&amp;Table1[[#This Row],[Column13]]</f>
        <v/>
      </c>
      <c r="AG373"/>
      <c r="AH373"/>
      <c r="AI373"/>
    </row>
    <row r="374" spans="1:35">
      <c r="A374" s="234" t="str">
        <f ca="1">IF(Table1[[#This Row],[No. Invoice :]]="","",ROW())</f>
        <v/>
      </c>
      <c r="B374" s="245" t="str">
        <f ca="1">IF(Table1[[#This Row],[Column3]]="","",B$1+COUNT(INDIRECT("B$2:B"&amp;ROW()-1)))</f>
        <v/>
      </c>
      <c r="C374" s="235" t="str">
        <f>IF(Table1[[#This Row],[Column2]]="","",Table1[[#This Row],[Column2]]+C$1-1)</f>
        <v/>
      </c>
      <c r="D374" s="246"/>
      <c r="E374" s="236"/>
      <c r="F374" s="234"/>
      <c r="G374" s="234" t="str">
        <f ca="1">IF(Table1[[#This Row],[h_No. Invoice :]]="","",CONCATENATE("AM"," ",Table1[[#This Row],[h_No. Invoice :]]))</f>
        <v/>
      </c>
      <c r="H374" s="245" t="str">
        <f>IF(Table1[[#This Row],[Column5]]="","",INDEX(Table2[Column1],MATCH(Table1[[#This Row],[Column5]],Table2[a],0)))</f>
        <v/>
      </c>
      <c r="I374" s="234" t="str">
        <f>IF(Table1[[#This Row],[Column3]]=0,"",CONCATENATE(UPPER(Table1[[#This Row],[Column3]])," ",Table1[[#This Row],[Column4]]))</f>
        <v xml:space="preserve"> </v>
      </c>
      <c r="J374" s="234" t="str">
        <f>IF(Table1[[#This Row],[Column5]]="","",INDEX(Table2[e],IF(Table1[[#This Row],[Column5]]="","",MATCH(Table1[[#This Row],[Column5]],Table2[a],0)),))</f>
        <v/>
      </c>
      <c r="K374" s="234"/>
      <c r="L374" s="234"/>
      <c r="O374" s="245" t="str">
        <f>IF(Table1[[#This Row],[h_Item Description]]="","",INDEX([1]!db[NB PAJAK],MATCH(Table1[[#This Row],[h_Item Description]],[1]!db[kode],0)))</f>
        <v/>
      </c>
      <c r="Q374" s="237"/>
      <c r="R374" s="238"/>
      <c r="S374" s="238"/>
      <c r="T374" s="248" t="str">
        <f>Table1[[#This Row],[h_hargasetelahdiskon]]</f>
        <v/>
      </c>
      <c r="V374" s="234"/>
      <c r="W374" s="234" t="str">
        <f ca="1">IF(Table1[[#This Row],[Column12]]="","",IF(Table1[[#This Row],[//]]="",INDIRECT(ADDRESS(ROW()-1,COLUMN())),Table1[[#This Row],[//]]))</f>
        <v/>
      </c>
      <c r="X374" s="234" t="str">
        <f ca="1">IF(Table1[[#This Row],[h_id]]="","",COUNTIF(Table1[h_id],Table1[[#This Row],[h_id]]))</f>
        <v/>
      </c>
      <c r="Y374" s="237" t="str">
        <f>IF(Table1[[#This Row],[Column12]]="","",Table1[[#This Row],[Qty]]*Table1[[#This Row],[Column13]])</f>
        <v/>
      </c>
      <c r="Z374" s="248" t="str">
        <f>IF(Table1[[#This Row],[h_hargasebelumdiskon]]="","",IF(Table1[[#This Row],[Column14]]="",0,Table1[[#This Row],[h_hargasebelumdiskon]]*Table1[[#This Row],[Column14]]))</f>
        <v/>
      </c>
      <c r="AA374" s="248" t="str">
        <f>IF(Table1[[#This Row],[h_hargasebelumdiskon]]="","",IF(Table1[[#This Row],[Column15]]="",0,(Table1[[#This Row],[h_hargasebelumdiskon]]-Table1[[#This Row],[h_disc 1]])*Table1[[#This Row],[Column15]]))</f>
        <v/>
      </c>
      <c r="AB374" s="237" t="str">
        <f>IF(Table1[[#This Row],[Column12]]="","",Table1[[#This Row],[h_disc 1]]+Table1[[#This Row],[h_disc 2]])</f>
        <v/>
      </c>
      <c r="AC374" s="237" t="str">
        <f>IF(Table1[[#This Row],[Column12]]="","",Table1[[#This Row],[h_hargasebelumdiskon]]-Table1[[#This Row],[h_diskon]])</f>
        <v/>
      </c>
      <c r="AD374" s="237" t="str">
        <f ca="1">IF(Table1[[#This Row],[//]]="","",SUMIF(Table1[h_id],Table1[[#This Row],[h_id]],Table1[h_hargasetelahdiskon]))</f>
        <v/>
      </c>
      <c r="AF374" s="237" t="str">
        <f>Table1[[#This Row],[Column12]]&amp;Table1[[#This Row],[Unit]]&amp;Table1[[#This Row],[Column13]]</f>
        <v/>
      </c>
      <c r="AG374"/>
      <c r="AH374"/>
      <c r="AI374"/>
    </row>
    <row r="375" spans="1:35">
      <c r="A375" s="234" t="str">
        <f ca="1">IF(Table1[[#This Row],[No. Invoice :]]="","",ROW())</f>
        <v/>
      </c>
      <c r="B375" s="245" t="str">
        <f ca="1">IF(Table1[[#This Row],[Column3]]="","",B$1+COUNT(INDIRECT("B$2:B"&amp;ROW()-1)))</f>
        <v/>
      </c>
      <c r="C375" s="235" t="str">
        <f>IF(Table1[[#This Row],[Column2]]="","",Table1[[#This Row],[Column2]]+C$1-1)</f>
        <v/>
      </c>
      <c r="D375" s="246"/>
      <c r="E375" s="236"/>
      <c r="F375" s="234"/>
      <c r="G375" s="234" t="str">
        <f ca="1">IF(Table1[[#This Row],[h_No. Invoice :]]="","",CONCATENATE("AM"," ",Table1[[#This Row],[h_No. Invoice :]]))</f>
        <v/>
      </c>
      <c r="H375" s="245" t="str">
        <f>IF(Table1[[#This Row],[Column5]]="","",INDEX(Table2[Column1],MATCH(Table1[[#This Row],[Column5]],Table2[a],0)))</f>
        <v/>
      </c>
      <c r="I375" s="234" t="str">
        <f>IF(Table1[[#This Row],[Column3]]=0,"",CONCATENATE(UPPER(Table1[[#This Row],[Column3]])," ",Table1[[#This Row],[Column4]]))</f>
        <v xml:space="preserve"> </v>
      </c>
      <c r="J375" s="234" t="str">
        <f>IF(Table1[[#This Row],[Column5]]="","",INDEX(Table2[e],IF(Table1[[#This Row],[Column5]]="","",MATCH(Table1[[#This Row],[Column5]],Table2[a],0)),))</f>
        <v/>
      </c>
      <c r="K375" s="234"/>
      <c r="L375" s="234"/>
      <c r="O375" s="245" t="str">
        <f>IF(Table1[[#This Row],[h_Item Description]]="","",INDEX([1]!db[NB PAJAK],MATCH(Table1[[#This Row],[h_Item Description]],[1]!db[kode],0)))</f>
        <v/>
      </c>
      <c r="Q375" s="237"/>
      <c r="R375" s="238"/>
      <c r="S375" s="238"/>
      <c r="T375" s="248" t="str">
        <f>Table1[[#This Row],[h_hargasetelahdiskon]]</f>
        <v/>
      </c>
      <c r="V375" s="234"/>
      <c r="W375" s="234" t="str">
        <f ca="1">IF(Table1[[#This Row],[Column12]]="","",IF(Table1[[#This Row],[//]]="",INDIRECT(ADDRESS(ROW()-1,COLUMN())),Table1[[#This Row],[//]]))</f>
        <v/>
      </c>
      <c r="X375" s="234" t="str">
        <f ca="1">IF(Table1[[#This Row],[h_id]]="","",COUNTIF(Table1[h_id],Table1[[#This Row],[h_id]]))</f>
        <v/>
      </c>
      <c r="Y375" s="237" t="str">
        <f>IF(Table1[[#This Row],[Column12]]="","",Table1[[#This Row],[Qty]]*Table1[[#This Row],[Column13]])</f>
        <v/>
      </c>
      <c r="Z375" s="248" t="str">
        <f>IF(Table1[[#This Row],[h_hargasebelumdiskon]]="","",IF(Table1[[#This Row],[Column14]]="",0,Table1[[#This Row],[h_hargasebelumdiskon]]*Table1[[#This Row],[Column14]]))</f>
        <v/>
      </c>
      <c r="AA375" s="248" t="str">
        <f>IF(Table1[[#This Row],[h_hargasebelumdiskon]]="","",IF(Table1[[#This Row],[Column15]]="",0,(Table1[[#This Row],[h_hargasebelumdiskon]]-Table1[[#This Row],[h_disc 1]])*Table1[[#This Row],[Column15]]))</f>
        <v/>
      </c>
      <c r="AB375" s="237" t="str">
        <f>IF(Table1[[#This Row],[Column12]]="","",Table1[[#This Row],[h_disc 1]]+Table1[[#This Row],[h_disc 2]])</f>
        <v/>
      </c>
      <c r="AC375" s="237" t="str">
        <f>IF(Table1[[#This Row],[Column12]]="","",Table1[[#This Row],[h_hargasebelumdiskon]]-Table1[[#This Row],[h_diskon]])</f>
        <v/>
      </c>
      <c r="AD375" s="237" t="str">
        <f ca="1">IF(Table1[[#This Row],[//]]="","",SUMIF(Table1[h_id],Table1[[#This Row],[h_id]],Table1[h_hargasetelahdiskon]))</f>
        <v/>
      </c>
      <c r="AF375" s="237" t="str">
        <f>Table1[[#This Row],[Column12]]&amp;Table1[[#This Row],[Unit]]&amp;Table1[[#This Row],[Column13]]</f>
        <v/>
      </c>
      <c r="AG375"/>
      <c r="AH375"/>
      <c r="AI375"/>
    </row>
    <row r="376" spans="1:35">
      <c r="A376" s="234" t="str">
        <f ca="1">IF(Table1[[#This Row],[No. Invoice :]]="","",ROW())</f>
        <v/>
      </c>
      <c r="B376" s="245" t="str">
        <f ca="1">IF(Table1[[#This Row],[Column3]]="","",B$1+COUNT(INDIRECT("B$2:B"&amp;ROW()-1)))</f>
        <v/>
      </c>
      <c r="C376" s="235" t="str">
        <f>IF(Table1[[#This Row],[Column2]]="","",Table1[[#This Row],[Column2]]+C$1-1)</f>
        <v/>
      </c>
      <c r="D376" s="246"/>
      <c r="E376" s="236"/>
      <c r="F376" s="234"/>
      <c r="G376" s="234" t="str">
        <f ca="1">IF(Table1[[#This Row],[h_No. Invoice :]]="","",CONCATENATE("AM"," ",Table1[[#This Row],[h_No. Invoice :]]))</f>
        <v/>
      </c>
      <c r="H376" s="245" t="str">
        <f>IF(Table1[[#This Row],[Column5]]="","",INDEX(Table2[Column1],MATCH(Table1[[#This Row],[Column5]],Table2[a],0)))</f>
        <v/>
      </c>
      <c r="I376" s="234" t="str">
        <f>IF(Table1[[#This Row],[Column3]]=0,"",CONCATENATE(UPPER(Table1[[#This Row],[Column3]])," ",Table1[[#This Row],[Column4]]))</f>
        <v xml:space="preserve"> </v>
      </c>
      <c r="J376" s="234" t="str">
        <f>IF(Table1[[#This Row],[Column5]]="","",INDEX(Table2[e],IF(Table1[[#This Row],[Column5]]="","",MATCH(Table1[[#This Row],[Column5]],Table2[a],0)),))</f>
        <v/>
      </c>
      <c r="K376" s="234"/>
      <c r="L376" s="234"/>
      <c r="O376" s="245" t="str">
        <f>IF(Table1[[#This Row],[h_Item Description]]="","",INDEX([1]!db[NB PAJAK],MATCH(Table1[[#This Row],[h_Item Description]],[1]!db[kode],0)))</f>
        <v/>
      </c>
      <c r="Q376" s="237"/>
      <c r="R376" s="238"/>
      <c r="S376" s="238"/>
      <c r="T376" s="248" t="str">
        <f>Table1[[#This Row],[h_hargasetelahdiskon]]</f>
        <v/>
      </c>
      <c r="V376" s="234"/>
      <c r="W376" s="234" t="str">
        <f ca="1">IF(Table1[[#This Row],[Column12]]="","",IF(Table1[[#This Row],[//]]="",INDIRECT(ADDRESS(ROW()-1,COLUMN())),Table1[[#This Row],[//]]))</f>
        <v/>
      </c>
      <c r="X376" s="234" t="str">
        <f ca="1">IF(Table1[[#This Row],[h_id]]="","",COUNTIF(Table1[h_id],Table1[[#This Row],[h_id]]))</f>
        <v/>
      </c>
      <c r="Y376" s="237" t="str">
        <f>IF(Table1[[#This Row],[Column12]]="","",Table1[[#This Row],[Qty]]*Table1[[#This Row],[Column13]])</f>
        <v/>
      </c>
      <c r="Z376" s="248" t="str">
        <f>IF(Table1[[#This Row],[h_hargasebelumdiskon]]="","",IF(Table1[[#This Row],[Column14]]="",0,Table1[[#This Row],[h_hargasebelumdiskon]]*Table1[[#This Row],[Column14]]))</f>
        <v/>
      </c>
      <c r="AA376" s="248" t="str">
        <f>IF(Table1[[#This Row],[h_hargasebelumdiskon]]="","",IF(Table1[[#This Row],[Column15]]="",0,(Table1[[#This Row],[h_hargasebelumdiskon]]-Table1[[#This Row],[h_disc 1]])*Table1[[#This Row],[Column15]]))</f>
        <v/>
      </c>
      <c r="AB376" s="237" t="str">
        <f>IF(Table1[[#This Row],[Column12]]="","",Table1[[#This Row],[h_disc 1]]+Table1[[#This Row],[h_disc 2]])</f>
        <v/>
      </c>
      <c r="AC376" s="237" t="str">
        <f>IF(Table1[[#This Row],[Column12]]="","",Table1[[#This Row],[h_hargasebelumdiskon]]-Table1[[#This Row],[h_diskon]])</f>
        <v/>
      </c>
      <c r="AD376" s="237" t="str">
        <f ca="1">IF(Table1[[#This Row],[//]]="","",SUMIF(Table1[h_id],Table1[[#This Row],[h_id]],Table1[h_hargasetelahdiskon]))</f>
        <v/>
      </c>
      <c r="AF376" s="237" t="str">
        <f>Table1[[#This Row],[Column12]]&amp;Table1[[#This Row],[Unit]]&amp;Table1[[#This Row],[Column13]]</f>
        <v/>
      </c>
      <c r="AG376"/>
      <c r="AH376"/>
      <c r="AI376"/>
    </row>
    <row r="377" spans="1:35">
      <c r="A377" s="234" t="str">
        <f ca="1">IF(Table1[[#This Row],[No. Invoice :]]="","",ROW())</f>
        <v/>
      </c>
      <c r="B377" s="245" t="str">
        <f ca="1">IF(Table1[[#This Row],[Column3]]="","",B$1+COUNT(INDIRECT("B$2:B"&amp;ROW()-1)))</f>
        <v/>
      </c>
      <c r="C377" s="235" t="str">
        <f>IF(Table1[[#This Row],[Column2]]="","",Table1[[#This Row],[Column2]]+C$1-1)</f>
        <v/>
      </c>
      <c r="D377" s="246"/>
      <c r="E377" s="236"/>
      <c r="F377" s="234"/>
      <c r="G377" s="234" t="str">
        <f ca="1">IF(Table1[[#This Row],[h_No. Invoice :]]="","",CONCATENATE("AM"," ",Table1[[#This Row],[h_No. Invoice :]]))</f>
        <v/>
      </c>
      <c r="H377" s="245" t="str">
        <f>IF(Table1[[#This Row],[Column5]]="","",INDEX(Table2[Column1],MATCH(Table1[[#This Row],[Column5]],Table2[a],0)))</f>
        <v/>
      </c>
      <c r="I377" s="234" t="str">
        <f>IF(Table1[[#This Row],[Column3]]=0,"",CONCATENATE(UPPER(Table1[[#This Row],[Column3]])," ",Table1[[#This Row],[Column4]]))</f>
        <v xml:space="preserve"> </v>
      </c>
      <c r="J377" s="234" t="str">
        <f>IF(Table1[[#This Row],[Column5]]="","",INDEX(Table2[e],IF(Table1[[#This Row],[Column5]]="","",MATCH(Table1[[#This Row],[Column5]],Table2[a],0)),))</f>
        <v/>
      </c>
      <c r="K377" s="234"/>
      <c r="L377" s="234"/>
      <c r="O377" s="245" t="str">
        <f>IF(Table1[[#This Row],[h_Item Description]]="","",INDEX([1]!db[NB PAJAK],MATCH(Table1[[#This Row],[h_Item Description]],[1]!db[kode],0)))</f>
        <v/>
      </c>
      <c r="Q377" s="237"/>
      <c r="R377" s="238"/>
      <c r="S377" s="238"/>
      <c r="T377" s="248" t="str">
        <f>Table1[[#This Row],[h_hargasetelahdiskon]]</f>
        <v/>
      </c>
      <c r="V377" s="234"/>
      <c r="W377" s="234" t="str">
        <f ca="1">IF(Table1[[#This Row],[Column12]]="","",IF(Table1[[#This Row],[//]]="",INDIRECT(ADDRESS(ROW()-1,COLUMN())),Table1[[#This Row],[//]]))</f>
        <v/>
      </c>
      <c r="X377" s="234" t="str">
        <f ca="1">IF(Table1[[#This Row],[h_id]]="","",COUNTIF(Table1[h_id],Table1[[#This Row],[h_id]]))</f>
        <v/>
      </c>
      <c r="Y377" s="237" t="str">
        <f>IF(Table1[[#This Row],[Column12]]="","",Table1[[#This Row],[Qty]]*Table1[[#This Row],[Column13]])</f>
        <v/>
      </c>
      <c r="Z377" s="248" t="str">
        <f>IF(Table1[[#This Row],[h_hargasebelumdiskon]]="","",IF(Table1[[#This Row],[Column14]]="",0,Table1[[#This Row],[h_hargasebelumdiskon]]*Table1[[#This Row],[Column14]]))</f>
        <v/>
      </c>
      <c r="AA377" s="248" t="str">
        <f>IF(Table1[[#This Row],[h_hargasebelumdiskon]]="","",IF(Table1[[#This Row],[Column15]]="",0,(Table1[[#This Row],[h_hargasebelumdiskon]]-Table1[[#This Row],[h_disc 1]])*Table1[[#This Row],[Column15]]))</f>
        <v/>
      </c>
      <c r="AB377" s="237" t="str">
        <f>IF(Table1[[#This Row],[Column12]]="","",Table1[[#This Row],[h_disc 1]]+Table1[[#This Row],[h_disc 2]])</f>
        <v/>
      </c>
      <c r="AC377" s="237" t="str">
        <f>IF(Table1[[#This Row],[Column12]]="","",Table1[[#This Row],[h_hargasebelumdiskon]]-Table1[[#This Row],[h_diskon]])</f>
        <v/>
      </c>
      <c r="AD377" s="237" t="str">
        <f ca="1">IF(Table1[[#This Row],[//]]="","",SUMIF(Table1[h_id],Table1[[#This Row],[h_id]],Table1[h_hargasetelahdiskon]))</f>
        <v/>
      </c>
      <c r="AF377" s="237" t="str">
        <f>Table1[[#This Row],[Column12]]&amp;Table1[[#This Row],[Unit]]&amp;Table1[[#This Row],[Column13]]</f>
        <v/>
      </c>
      <c r="AG377"/>
      <c r="AH377"/>
      <c r="AI377"/>
    </row>
    <row r="378" spans="1:35">
      <c r="A378" s="234" t="str">
        <f ca="1">IF(Table1[[#This Row],[No. Invoice :]]="","",ROW())</f>
        <v/>
      </c>
      <c r="B378" s="245" t="str">
        <f ca="1">IF(Table1[[#This Row],[Column3]]="","",B$1+COUNT(INDIRECT("B$2:B"&amp;ROW()-1)))</f>
        <v/>
      </c>
      <c r="C378" s="235" t="str">
        <f>IF(Table1[[#This Row],[Column2]]="","",Table1[[#This Row],[Column2]]+C$1-1)</f>
        <v/>
      </c>
      <c r="D378" s="246"/>
      <c r="E378" s="236"/>
      <c r="F378" s="234"/>
      <c r="G378" s="234" t="str">
        <f ca="1">IF(Table1[[#This Row],[h_No. Invoice :]]="","",CONCATENATE("AM"," ",Table1[[#This Row],[h_No. Invoice :]]))</f>
        <v/>
      </c>
      <c r="H378" s="245" t="str">
        <f>IF(Table1[[#This Row],[Column5]]="","",INDEX(Table2[Column1],MATCH(Table1[[#This Row],[Column5]],Table2[a],0)))</f>
        <v/>
      </c>
      <c r="I378" s="234" t="str">
        <f>IF(Table1[[#This Row],[Column3]]=0,"",CONCATENATE(UPPER(Table1[[#This Row],[Column3]])," ",Table1[[#This Row],[Column4]]))</f>
        <v xml:space="preserve"> </v>
      </c>
      <c r="J378" s="234" t="str">
        <f>IF(Table1[[#This Row],[Column5]]="","",INDEX(Table2[e],IF(Table1[[#This Row],[Column5]]="","",MATCH(Table1[[#This Row],[Column5]],Table2[a],0)),))</f>
        <v/>
      </c>
      <c r="K378" s="234"/>
      <c r="L378" s="234"/>
      <c r="O378" s="245" t="str">
        <f>IF(Table1[[#This Row],[h_Item Description]]="","",INDEX([1]!db[NB PAJAK],MATCH(Table1[[#This Row],[h_Item Description]],[1]!db[kode],0)))</f>
        <v/>
      </c>
      <c r="Q378" s="237"/>
      <c r="R378" s="238"/>
      <c r="S378" s="238"/>
      <c r="T378" s="248" t="str">
        <f>Table1[[#This Row],[h_hargasetelahdiskon]]</f>
        <v/>
      </c>
      <c r="V378" s="234"/>
      <c r="W378" s="234" t="str">
        <f ca="1">IF(Table1[[#This Row],[Column12]]="","",IF(Table1[[#This Row],[//]]="",INDIRECT(ADDRESS(ROW()-1,COLUMN())),Table1[[#This Row],[//]]))</f>
        <v/>
      </c>
      <c r="X378" s="234" t="str">
        <f ca="1">IF(Table1[[#This Row],[h_id]]="","",COUNTIF(Table1[h_id],Table1[[#This Row],[h_id]]))</f>
        <v/>
      </c>
      <c r="Y378" s="237" t="str">
        <f>IF(Table1[[#This Row],[Column12]]="","",Table1[[#This Row],[Qty]]*Table1[[#This Row],[Column13]])</f>
        <v/>
      </c>
      <c r="Z378" s="248" t="str">
        <f>IF(Table1[[#This Row],[h_hargasebelumdiskon]]="","",IF(Table1[[#This Row],[Column14]]="",0,Table1[[#This Row],[h_hargasebelumdiskon]]*Table1[[#This Row],[Column14]]))</f>
        <v/>
      </c>
      <c r="AA378" s="248" t="str">
        <f>IF(Table1[[#This Row],[h_hargasebelumdiskon]]="","",IF(Table1[[#This Row],[Column15]]="",0,(Table1[[#This Row],[h_hargasebelumdiskon]]-Table1[[#This Row],[h_disc 1]])*Table1[[#This Row],[Column15]]))</f>
        <v/>
      </c>
      <c r="AB378" s="237" t="str">
        <f>IF(Table1[[#This Row],[Column12]]="","",Table1[[#This Row],[h_disc 1]]+Table1[[#This Row],[h_disc 2]])</f>
        <v/>
      </c>
      <c r="AC378" s="237" t="str">
        <f>IF(Table1[[#This Row],[Column12]]="","",Table1[[#This Row],[h_hargasebelumdiskon]]-Table1[[#This Row],[h_diskon]])</f>
        <v/>
      </c>
      <c r="AD378" s="237" t="str">
        <f ca="1">IF(Table1[[#This Row],[//]]="","",SUMIF(Table1[h_id],Table1[[#This Row],[h_id]],Table1[h_hargasetelahdiskon]))</f>
        <v/>
      </c>
      <c r="AF378" s="237" t="str">
        <f>Table1[[#This Row],[Column12]]&amp;Table1[[#This Row],[Unit]]&amp;Table1[[#This Row],[Column13]]</f>
        <v/>
      </c>
      <c r="AG378"/>
      <c r="AH378"/>
      <c r="AI378"/>
    </row>
    <row r="379" spans="1:35">
      <c r="A379" s="234" t="str">
        <f ca="1">IF(Table1[[#This Row],[No. Invoice :]]="","",ROW())</f>
        <v/>
      </c>
      <c r="B379" s="245" t="str">
        <f ca="1">IF(Table1[[#This Row],[Column3]]="","",B$1+COUNT(INDIRECT("B$2:B"&amp;ROW()-1)))</f>
        <v/>
      </c>
      <c r="C379" s="235" t="str">
        <f>IF(Table1[[#This Row],[Column2]]="","",Table1[[#This Row],[Column2]]+C$1-1)</f>
        <v/>
      </c>
      <c r="D379" s="246"/>
      <c r="E379" s="236"/>
      <c r="F379" s="234"/>
      <c r="G379" s="234" t="str">
        <f ca="1">IF(Table1[[#This Row],[h_No. Invoice :]]="","",CONCATENATE("AM"," ",Table1[[#This Row],[h_No. Invoice :]]))</f>
        <v/>
      </c>
      <c r="H379" s="245" t="str">
        <f>IF(Table1[[#This Row],[Column5]]="","",INDEX(Table2[Column1],MATCH(Table1[[#This Row],[Column5]],Table2[a],0)))</f>
        <v/>
      </c>
      <c r="I379" s="234" t="str">
        <f>IF(Table1[[#This Row],[Column3]]=0,"",CONCATENATE(UPPER(Table1[[#This Row],[Column3]])," ",Table1[[#This Row],[Column4]]))</f>
        <v xml:space="preserve"> </v>
      </c>
      <c r="J379" s="234" t="str">
        <f>IF(Table1[[#This Row],[Column5]]="","",INDEX(Table2[e],IF(Table1[[#This Row],[Column5]]="","",MATCH(Table1[[#This Row],[Column5]],Table2[a],0)),))</f>
        <v/>
      </c>
      <c r="K379" s="234"/>
      <c r="L379" s="234"/>
      <c r="O379" s="245" t="str">
        <f>IF(Table1[[#This Row],[h_Item Description]]="","",INDEX([1]!db[NB PAJAK],MATCH(Table1[[#This Row],[h_Item Description]],[1]!db[kode],0)))</f>
        <v/>
      </c>
      <c r="Q379" s="237"/>
      <c r="R379" s="238"/>
      <c r="S379" s="238"/>
      <c r="T379" s="248" t="str">
        <f>Table1[[#This Row],[h_hargasetelahdiskon]]</f>
        <v/>
      </c>
      <c r="V379" s="234"/>
      <c r="W379" s="234" t="str">
        <f ca="1">IF(Table1[[#This Row],[Column12]]="","",IF(Table1[[#This Row],[//]]="",INDIRECT(ADDRESS(ROW()-1,COLUMN())),Table1[[#This Row],[//]]))</f>
        <v/>
      </c>
      <c r="X379" s="234" t="str">
        <f ca="1">IF(Table1[[#This Row],[h_id]]="","",COUNTIF(Table1[h_id],Table1[[#This Row],[h_id]]))</f>
        <v/>
      </c>
      <c r="Y379" s="237" t="str">
        <f>IF(Table1[[#This Row],[Column12]]="","",Table1[[#This Row],[Qty]]*Table1[[#This Row],[Column13]])</f>
        <v/>
      </c>
      <c r="Z379" s="248" t="str">
        <f>IF(Table1[[#This Row],[h_hargasebelumdiskon]]="","",IF(Table1[[#This Row],[Column14]]="",0,Table1[[#This Row],[h_hargasebelumdiskon]]*Table1[[#This Row],[Column14]]))</f>
        <v/>
      </c>
      <c r="AA379" s="248" t="str">
        <f>IF(Table1[[#This Row],[h_hargasebelumdiskon]]="","",IF(Table1[[#This Row],[Column15]]="",0,(Table1[[#This Row],[h_hargasebelumdiskon]]-Table1[[#This Row],[h_disc 1]])*Table1[[#This Row],[Column15]]))</f>
        <v/>
      </c>
      <c r="AB379" s="237" t="str">
        <f>IF(Table1[[#This Row],[Column12]]="","",Table1[[#This Row],[h_disc 1]]+Table1[[#This Row],[h_disc 2]])</f>
        <v/>
      </c>
      <c r="AC379" s="237" t="str">
        <f>IF(Table1[[#This Row],[Column12]]="","",Table1[[#This Row],[h_hargasebelumdiskon]]-Table1[[#This Row],[h_diskon]])</f>
        <v/>
      </c>
      <c r="AD379" s="237" t="str">
        <f ca="1">IF(Table1[[#This Row],[//]]="","",SUMIF(Table1[h_id],Table1[[#This Row],[h_id]],Table1[h_hargasetelahdiskon]))</f>
        <v/>
      </c>
      <c r="AF379" s="237" t="str">
        <f>Table1[[#This Row],[Column12]]&amp;Table1[[#This Row],[Unit]]&amp;Table1[[#This Row],[Column13]]</f>
        <v/>
      </c>
      <c r="AG379"/>
      <c r="AH379"/>
      <c r="AI379"/>
    </row>
    <row r="380" spans="1:35">
      <c r="A380" s="234" t="str">
        <f ca="1">IF(Table1[[#This Row],[No. Invoice :]]="","",ROW())</f>
        <v/>
      </c>
      <c r="B380" s="245" t="str">
        <f ca="1">IF(Table1[[#This Row],[Column3]]="","",B$1+COUNT(INDIRECT("B$2:B"&amp;ROW()-1)))</f>
        <v/>
      </c>
      <c r="C380" s="235" t="str">
        <f>IF(Table1[[#This Row],[Column2]]="","",Table1[[#This Row],[Column2]]+C$1-1)</f>
        <v/>
      </c>
      <c r="D380" s="246"/>
      <c r="E380" s="236"/>
      <c r="F380" s="234"/>
      <c r="G380" s="234" t="str">
        <f ca="1">IF(Table1[[#This Row],[h_No. Invoice :]]="","",CONCATENATE("AM"," ",Table1[[#This Row],[h_No. Invoice :]]))</f>
        <v/>
      </c>
      <c r="H380" s="245" t="str">
        <f>IF(Table1[[#This Row],[Column5]]="","",INDEX(Table2[Column1],MATCH(Table1[[#This Row],[Column5]],Table2[a],0)))</f>
        <v/>
      </c>
      <c r="I380" s="234" t="str">
        <f>IF(Table1[[#This Row],[Column3]]=0,"",CONCATENATE(UPPER(Table1[[#This Row],[Column3]])," ",Table1[[#This Row],[Column4]]))</f>
        <v xml:space="preserve"> </v>
      </c>
      <c r="J380" s="234" t="str">
        <f>IF(Table1[[#This Row],[Column5]]="","",INDEX(Table2[e],IF(Table1[[#This Row],[Column5]]="","",MATCH(Table1[[#This Row],[Column5]],Table2[a],0)),))</f>
        <v/>
      </c>
      <c r="K380" s="234"/>
      <c r="L380" s="234"/>
      <c r="O380" s="245" t="str">
        <f>IF(Table1[[#This Row],[h_Item Description]]="","",INDEX([1]!db[NB PAJAK],MATCH(Table1[[#This Row],[h_Item Description]],[1]!db[kode],0)))</f>
        <v/>
      </c>
      <c r="Q380" s="237"/>
      <c r="R380" s="238"/>
      <c r="S380" s="238"/>
      <c r="T380" s="248" t="str">
        <f>Table1[[#This Row],[h_hargasetelahdiskon]]</f>
        <v/>
      </c>
      <c r="V380" s="234"/>
      <c r="W380" s="234" t="str">
        <f ca="1">IF(Table1[[#This Row],[Column12]]="","",IF(Table1[[#This Row],[//]]="",INDIRECT(ADDRESS(ROW()-1,COLUMN())),Table1[[#This Row],[//]]))</f>
        <v/>
      </c>
      <c r="X380" s="234" t="str">
        <f ca="1">IF(Table1[[#This Row],[h_id]]="","",COUNTIF(Table1[h_id],Table1[[#This Row],[h_id]]))</f>
        <v/>
      </c>
      <c r="Y380" s="237" t="str">
        <f>IF(Table1[[#This Row],[Column12]]="","",Table1[[#This Row],[Qty]]*Table1[[#This Row],[Column13]])</f>
        <v/>
      </c>
      <c r="Z380" s="248" t="str">
        <f>IF(Table1[[#This Row],[h_hargasebelumdiskon]]="","",IF(Table1[[#This Row],[Column14]]="",0,Table1[[#This Row],[h_hargasebelumdiskon]]*Table1[[#This Row],[Column14]]))</f>
        <v/>
      </c>
      <c r="AA380" s="248" t="str">
        <f>IF(Table1[[#This Row],[h_hargasebelumdiskon]]="","",IF(Table1[[#This Row],[Column15]]="",0,(Table1[[#This Row],[h_hargasebelumdiskon]]-Table1[[#This Row],[h_disc 1]])*Table1[[#This Row],[Column15]]))</f>
        <v/>
      </c>
      <c r="AB380" s="237" t="str">
        <f>IF(Table1[[#This Row],[Column12]]="","",Table1[[#This Row],[h_disc 1]]+Table1[[#This Row],[h_disc 2]])</f>
        <v/>
      </c>
      <c r="AC380" s="237" t="str">
        <f>IF(Table1[[#This Row],[Column12]]="","",Table1[[#This Row],[h_hargasebelumdiskon]]-Table1[[#This Row],[h_diskon]])</f>
        <v/>
      </c>
      <c r="AD380" s="237" t="str">
        <f ca="1">IF(Table1[[#This Row],[//]]="","",SUMIF(Table1[h_id],Table1[[#This Row],[h_id]],Table1[h_hargasetelahdiskon]))</f>
        <v/>
      </c>
      <c r="AF380" s="237" t="str">
        <f>Table1[[#This Row],[Column12]]&amp;Table1[[#This Row],[Unit]]&amp;Table1[[#This Row],[Column13]]</f>
        <v/>
      </c>
      <c r="AG380"/>
      <c r="AH380"/>
      <c r="AI380"/>
    </row>
    <row r="381" spans="1:35">
      <c r="A381" s="234" t="str">
        <f ca="1">IF(Table1[[#This Row],[No. Invoice :]]="","",ROW())</f>
        <v/>
      </c>
      <c r="B381" s="245" t="str">
        <f ca="1">IF(Table1[[#This Row],[Column3]]="","",B$1+COUNT(INDIRECT("B$2:B"&amp;ROW()-1)))</f>
        <v/>
      </c>
      <c r="C381" s="235" t="str">
        <f>IF(Table1[[#This Row],[Column2]]="","",Table1[[#This Row],[Column2]]+C$1-1)</f>
        <v/>
      </c>
      <c r="D381" s="246"/>
      <c r="E381" s="247"/>
      <c r="F381" s="245"/>
      <c r="G381" s="234" t="str">
        <f ca="1">IF(Table1[[#This Row],[h_No. Invoice :]]="","",CONCATENATE("AM"," ",Table1[[#This Row],[h_No. Invoice :]]))</f>
        <v/>
      </c>
      <c r="H381" s="245" t="str">
        <f>IF(Table1[[#This Row],[Column5]]="","",INDEX(Table2[Column1],MATCH(Table1[[#This Row],[Column5]],Table2[a],0)))</f>
        <v/>
      </c>
      <c r="I381" s="234" t="str">
        <f>IF(Table1[[#This Row],[Column3]]=0,"",CONCATENATE(UPPER(Table1[[#This Row],[Column3]])," ",Table1[[#This Row],[Column4]]))</f>
        <v xml:space="preserve"> </v>
      </c>
      <c r="J381" s="234" t="str">
        <f>IF(Table1[[#This Row],[Column5]]="","",INDEX(Table2[e],IF(Table1[[#This Row],[Column5]]="","",MATCH(Table1[[#This Row],[Column5]],Table2[a],0)),))</f>
        <v/>
      </c>
      <c r="K381" s="234"/>
      <c r="L381" s="234"/>
      <c r="O381" s="245" t="str">
        <f>IF(Table1[[#This Row],[h_Item Description]]="","",INDEX([1]!db[NB PAJAK],MATCH(Table1[[#This Row],[h_Item Description]],[1]!db[kode],0)))</f>
        <v/>
      </c>
      <c r="Q381" s="237"/>
      <c r="R381" s="238"/>
      <c r="S381" s="238"/>
      <c r="T381" s="248" t="str">
        <f>Table1[[#This Row],[h_hargasetelahdiskon]]</f>
        <v/>
      </c>
      <c r="V381" s="234"/>
      <c r="W381" s="234" t="str">
        <f ca="1">IF(Table1[[#This Row],[Column12]]="","",IF(Table1[[#This Row],[//]]="",INDIRECT(ADDRESS(ROW()-1,COLUMN())),Table1[[#This Row],[//]]))</f>
        <v/>
      </c>
      <c r="X381" s="234" t="str">
        <f ca="1">IF(Table1[[#This Row],[h_id]]="","",COUNTIF(Table1[h_id],Table1[[#This Row],[h_id]]))</f>
        <v/>
      </c>
      <c r="Y381" s="237" t="str">
        <f>IF(Table1[[#This Row],[Column12]]="","",Table1[[#This Row],[Qty]]*Table1[[#This Row],[Column13]])</f>
        <v/>
      </c>
      <c r="Z381" s="248" t="str">
        <f>IF(Table1[[#This Row],[h_hargasebelumdiskon]]="","",IF(Table1[[#This Row],[Column14]]="",0,Table1[[#This Row],[h_hargasebelumdiskon]]*Table1[[#This Row],[Column14]]))</f>
        <v/>
      </c>
      <c r="AA381" s="248" t="str">
        <f>IF(Table1[[#This Row],[h_hargasebelumdiskon]]="","",IF(Table1[[#This Row],[Column15]]="",0,(Table1[[#This Row],[h_hargasebelumdiskon]]-Table1[[#This Row],[h_disc 1]])*Table1[[#This Row],[Column15]]))</f>
        <v/>
      </c>
      <c r="AB381" s="237" t="str">
        <f>IF(Table1[[#This Row],[Column12]]="","",Table1[[#This Row],[h_disc 1]]+Table1[[#This Row],[h_disc 2]])</f>
        <v/>
      </c>
      <c r="AC381" s="237" t="str">
        <f>IF(Table1[[#This Row],[Column12]]="","",Table1[[#This Row],[h_hargasebelumdiskon]]-Table1[[#This Row],[h_diskon]])</f>
        <v/>
      </c>
      <c r="AD381" s="237" t="str">
        <f ca="1">IF(Table1[[#This Row],[//]]="","",SUMIF(Table1[h_id],Table1[[#This Row],[h_id]],Table1[h_hargasetelahdiskon]))</f>
        <v/>
      </c>
      <c r="AF381" s="237" t="str">
        <f>Table1[[#This Row],[Column12]]&amp;Table1[[#This Row],[Unit]]&amp;Table1[[#This Row],[Column13]]</f>
        <v/>
      </c>
      <c r="AG381"/>
      <c r="AH381"/>
      <c r="AI381"/>
    </row>
    <row r="382" spans="1:35">
      <c r="A382" s="234" t="str">
        <f ca="1">IF(Table1[[#This Row],[No. Invoice :]]="","",ROW())</f>
        <v/>
      </c>
      <c r="B382" s="245" t="str">
        <f ca="1">IF(Table1[[#This Row],[Column3]]="","",B$1+COUNT(INDIRECT("B$2:B"&amp;ROW()-1)))</f>
        <v/>
      </c>
      <c r="C382" s="235" t="str">
        <f>IF(Table1[[#This Row],[Column2]]="","",Table1[[#This Row],[Column2]]+C$1-1)</f>
        <v/>
      </c>
      <c r="D382" s="246"/>
      <c r="E382" s="236"/>
      <c r="F382" s="234"/>
      <c r="G382" s="234" t="str">
        <f ca="1">IF(Table1[[#This Row],[h_No. Invoice :]]="","",CONCATENATE("AM"," ",Table1[[#This Row],[h_No. Invoice :]]))</f>
        <v/>
      </c>
      <c r="H382" s="245" t="str">
        <f>IF(Table1[[#This Row],[Column5]]="","",INDEX(Table2[Column1],MATCH(Table1[[#This Row],[Column5]],Table2[a],0)))</f>
        <v/>
      </c>
      <c r="I382" s="234" t="str">
        <f>IF(Table1[[#This Row],[Column3]]=0,"",CONCATENATE(UPPER(Table1[[#This Row],[Column3]])," ",Table1[[#This Row],[Column4]]))</f>
        <v xml:space="preserve"> </v>
      </c>
      <c r="J382" s="234" t="str">
        <f>IF(Table1[[#This Row],[Column5]]="","",INDEX(Table2[e],IF(Table1[[#This Row],[Column5]]="","",MATCH(Table1[[#This Row],[Column5]],Table2[a],0)),))</f>
        <v/>
      </c>
      <c r="K382" s="234"/>
      <c r="L382" s="234"/>
      <c r="O382" s="245" t="str">
        <f>IF(Table1[[#This Row],[h_Item Description]]="","",INDEX([1]!db[NB PAJAK],MATCH(Table1[[#This Row],[h_Item Description]],[1]!db[kode],0)))</f>
        <v/>
      </c>
      <c r="Q382" s="237"/>
      <c r="R382" s="238"/>
      <c r="S382" s="238"/>
      <c r="T382" s="248" t="str">
        <f>Table1[[#This Row],[h_hargasetelahdiskon]]</f>
        <v/>
      </c>
      <c r="V382" s="234"/>
      <c r="W382" s="234" t="str">
        <f ca="1">IF(Table1[[#This Row],[Column12]]="","",IF(Table1[[#This Row],[//]]="",INDIRECT(ADDRESS(ROW()-1,COLUMN())),Table1[[#This Row],[//]]))</f>
        <v/>
      </c>
      <c r="X382" s="234" t="str">
        <f ca="1">IF(Table1[[#This Row],[h_id]]="","",COUNTIF(Table1[h_id],Table1[[#This Row],[h_id]]))</f>
        <v/>
      </c>
      <c r="Y382" s="237" t="str">
        <f>IF(Table1[[#This Row],[Column12]]="","",Table1[[#This Row],[Qty]]*Table1[[#This Row],[Column13]])</f>
        <v/>
      </c>
      <c r="Z382" s="248" t="str">
        <f>IF(Table1[[#This Row],[h_hargasebelumdiskon]]="","",IF(Table1[[#This Row],[Column14]]="",0,Table1[[#This Row],[h_hargasebelumdiskon]]*Table1[[#This Row],[Column14]]))</f>
        <v/>
      </c>
      <c r="AA382" s="248" t="str">
        <f>IF(Table1[[#This Row],[h_hargasebelumdiskon]]="","",IF(Table1[[#This Row],[Column15]]="",0,(Table1[[#This Row],[h_hargasebelumdiskon]]-Table1[[#This Row],[h_disc 1]])*Table1[[#This Row],[Column15]]))</f>
        <v/>
      </c>
      <c r="AB382" s="237" t="str">
        <f>IF(Table1[[#This Row],[Column12]]="","",Table1[[#This Row],[h_disc 1]]+Table1[[#This Row],[h_disc 2]])</f>
        <v/>
      </c>
      <c r="AC382" s="237" t="str">
        <f>IF(Table1[[#This Row],[Column12]]="","",Table1[[#This Row],[h_hargasebelumdiskon]]-Table1[[#This Row],[h_diskon]])</f>
        <v/>
      </c>
      <c r="AD382" s="237" t="str">
        <f ca="1">IF(Table1[[#This Row],[//]]="","",SUMIF(Table1[h_id],Table1[[#This Row],[h_id]],Table1[h_hargasetelahdiskon]))</f>
        <v/>
      </c>
      <c r="AF382" s="237" t="str">
        <f>Table1[[#This Row],[Column12]]&amp;Table1[[#This Row],[Unit]]&amp;Table1[[#This Row],[Column13]]</f>
        <v/>
      </c>
      <c r="AG382"/>
      <c r="AH382"/>
      <c r="AI382"/>
    </row>
    <row r="383" spans="1:35">
      <c r="A383" s="234" t="str">
        <f ca="1">IF(Table1[[#This Row],[No. Invoice :]]="","",ROW())</f>
        <v/>
      </c>
      <c r="B383" s="245" t="str">
        <f ca="1">IF(Table1[[#This Row],[Column3]]="","",B$1+COUNT(INDIRECT("B$2:B"&amp;ROW()-1)))</f>
        <v/>
      </c>
      <c r="C383" s="235" t="str">
        <f>IF(Table1[[#This Row],[Column2]]="","",Table1[[#This Row],[Column2]]+C$1-1)</f>
        <v/>
      </c>
      <c r="D383" s="246"/>
      <c r="E383" s="236"/>
      <c r="F383" s="234"/>
      <c r="G383" s="234" t="str">
        <f ca="1">IF(Table1[[#This Row],[h_No. Invoice :]]="","",CONCATENATE("AM"," ",Table1[[#This Row],[h_No. Invoice :]]))</f>
        <v/>
      </c>
      <c r="H383" s="245" t="str">
        <f>IF(Table1[[#This Row],[Column5]]="","",INDEX(Table2[Column1],MATCH(Table1[[#This Row],[Column5]],Table2[a],0)))</f>
        <v/>
      </c>
      <c r="I383" s="234" t="str">
        <f>IF(Table1[[#This Row],[Column3]]=0,"",CONCATENATE(UPPER(Table1[[#This Row],[Column3]])," ",Table1[[#This Row],[Column4]]))</f>
        <v xml:space="preserve"> </v>
      </c>
      <c r="J383" s="234" t="str">
        <f>IF(Table1[[#This Row],[Column5]]="","",INDEX(Table2[e],IF(Table1[[#This Row],[Column5]]="","",MATCH(Table1[[#This Row],[Column5]],Table2[a],0)),))</f>
        <v/>
      </c>
      <c r="K383" s="234"/>
      <c r="L383" s="234"/>
      <c r="O383" s="234" t="str">
        <f>IF(Table1[[#This Row],[h_Item Description]]="","",INDEX([1]!db[NB PAJAK],MATCH(Table1[[#This Row],[h_Item Description]],[1]!db[kode],0)))</f>
        <v/>
      </c>
      <c r="Q383" s="237"/>
      <c r="R383" s="238"/>
      <c r="S383" s="238"/>
      <c r="T383" s="248" t="str">
        <f>Table1[[#This Row],[h_hargasetelahdiskon]]</f>
        <v/>
      </c>
      <c r="V383" s="234"/>
      <c r="W383" s="234" t="str">
        <f ca="1">IF(Table1[[#This Row],[Column12]]="","",IF(Table1[[#This Row],[//]]="",INDIRECT(ADDRESS(ROW()-1,COLUMN())),Table1[[#This Row],[//]]))</f>
        <v/>
      </c>
      <c r="X383" s="234" t="str">
        <f ca="1">IF(Table1[[#This Row],[h_id]]="","",COUNTIF(Table1[h_id],Table1[[#This Row],[h_id]]))</f>
        <v/>
      </c>
      <c r="Y383" s="237" t="str">
        <f>IF(Table1[[#This Row],[Column12]]="","",Table1[[#This Row],[Qty]]*Table1[[#This Row],[Column13]])</f>
        <v/>
      </c>
      <c r="Z383" s="248" t="str">
        <f>IF(Table1[[#This Row],[h_hargasebelumdiskon]]="","",IF(Table1[[#This Row],[Column14]]="",0,Table1[[#This Row],[h_hargasebelumdiskon]]*Table1[[#This Row],[Column14]]))</f>
        <v/>
      </c>
      <c r="AA383" s="248" t="str">
        <f>IF(Table1[[#This Row],[h_hargasebelumdiskon]]="","",IF(Table1[[#This Row],[Column15]]="",0,(Table1[[#This Row],[h_hargasebelumdiskon]]-Table1[[#This Row],[h_disc 1]])*Table1[[#This Row],[Column15]]))</f>
        <v/>
      </c>
      <c r="AB383" s="237" t="str">
        <f>IF(Table1[[#This Row],[Column12]]="","",Table1[[#This Row],[h_disc 1]]+Table1[[#This Row],[h_disc 2]])</f>
        <v/>
      </c>
      <c r="AC383" s="237" t="str">
        <f>IF(Table1[[#This Row],[Column12]]="","",Table1[[#This Row],[h_hargasebelumdiskon]]-Table1[[#This Row],[h_diskon]])</f>
        <v/>
      </c>
      <c r="AD383" s="237" t="str">
        <f ca="1">IF(Table1[[#This Row],[//]]="","",SUMIF(Table1[h_id],Table1[[#This Row],[h_id]],Table1[h_hargasetelahdiskon]))</f>
        <v/>
      </c>
      <c r="AF383" s="237" t="str">
        <f>Table1[[#This Row],[Column12]]&amp;Table1[[#This Row],[Unit]]&amp;Table1[[#This Row],[Column13]]</f>
        <v/>
      </c>
      <c r="AG383"/>
      <c r="AH383"/>
      <c r="AI383"/>
    </row>
    <row r="384" spans="1:35">
      <c r="A384" s="234" t="str">
        <f ca="1">IF(Table1[[#This Row],[No. Invoice :]]="","",ROW())</f>
        <v/>
      </c>
      <c r="B384" s="245" t="str">
        <f ca="1">IF(Table1[[#This Row],[Column3]]="","",B$1+COUNT(INDIRECT("B$2:B"&amp;ROW()-1)))</f>
        <v/>
      </c>
      <c r="C384" s="235" t="str">
        <f>IF(Table1[[#This Row],[Column2]]="","",Table1[[#This Row],[Column2]]+C$1-1)</f>
        <v/>
      </c>
      <c r="D384" s="246"/>
      <c r="E384" s="247"/>
      <c r="F384" s="245"/>
      <c r="G384" s="234" t="str">
        <f ca="1">IF(Table1[[#This Row],[h_No. Invoice :]]="","",CONCATENATE("AM"," ",Table1[[#This Row],[h_No. Invoice :]]))</f>
        <v/>
      </c>
      <c r="H384" s="245" t="str">
        <f>IF(Table1[[#This Row],[Column5]]="","",INDEX(Table2[Column1],MATCH(Table1[[#This Row],[Column5]],Table2[a],0)))</f>
        <v/>
      </c>
      <c r="I384" s="234" t="str">
        <f>IF(Table1[[#This Row],[Column3]]=0,"",CONCATENATE(UPPER(Table1[[#This Row],[Column3]])," ",Table1[[#This Row],[Column4]]))</f>
        <v xml:space="preserve"> </v>
      </c>
      <c r="J384" s="234" t="str">
        <f>IF(Table1[[#This Row],[Column5]]="","",INDEX(Table2[e],IF(Table1[[#This Row],[Column5]]="","",MATCH(Table1[[#This Row],[Column5]],Table2[a],0)),))</f>
        <v/>
      </c>
      <c r="K384" s="234"/>
      <c r="L384" s="234"/>
      <c r="O384" s="245" t="str">
        <f>IF(Table1[[#This Row],[h_Item Description]]="","",INDEX([1]!db[NB PAJAK],MATCH(Table1[[#This Row],[h_Item Description]],[1]!db[kode],0)))</f>
        <v/>
      </c>
      <c r="Q384" s="237"/>
      <c r="R384" s="238"/>
      <c r="S384" s="238"/>
      <c r="T384" s="248" t="str">
        <f>Table1[[#This Row],[h_hargasetelahdiskon]]</f>
        <v/>
      </c>
      <c r="V384" s="234"/>
      <c r="W384" s="234" t="str">
        <f ca="1">IF(Table1[[#This Row],[Column12]]="","",IF(Table1[[#This Row],[//]]="",INDIRECT(ADDRESS(ROW()-1,COLUMN())),Table1[[#This Row],[//]]))</f>
        <v/>
      </c>
      <c r="X384" s="234" t="str">
        <f ca="1">IF(Table1[[#This Row],[h_id]]="","",COUNTIF(Table1[h_id],Table1[[#This Row],[h_id]]))</f>
        <v/>
      </c>
      <c r="Y384" s="237" t="str">
        <f>IF(Table1[[#This Row],[Column12]]="","",Table1[[#This Row],[Qty]]*Table1[[#This Row],[Column13]])</f>
        <v/>
      </c>
      <c r="Z384" s="248" t="str">
        <f>IF(Table1[[#This Row],[h_hargasebelumdiskon]]="","",IF(Table1[[#This Row],[Column14]]="",0,Table1[[#This Row],[h_hargasebelumdiskon]]*Table1[[#This Row],[Column14]]))</f>
        <v/>
      </c>
      <c r="AA384" s="248" t="str">
        <f>IF(Table1[[#This Row],[h_hargasebelumdiskon]]="","",IF(Table1[[#This Row],[Column15]]="",0,(Table1[[#This Row],[h_hargasebelumdiskon]]-Table1[[#This Row],[h_disc 1]])*Table1[[#This Row],[Column15]]))</f>
        <v/>
      </c>
      <c r="AB384" s="237" t="str">
        <f>IF(Table1[[#This Row],[Column12]]="","",Table1[[#This Row],[h_disc 1]]+Table1[[#This Row],[h_disc 2]])</f>
        <v/>
      </c>
      <c r="AC384" s="237" t="str">
        <f>IF(Table1[[#This Row],[Column12]]="","",Table1[[#This Row],[h_hargasebelumdiskon]]-Table1[[#This Row],[h_diskon]])</f>
        <v/>
      </c>
      <c r="AD384" s="237" t="str">
        <f ca="1">IF(Table1[[#This Row],[//]]="","",SUMIF(Table1[h_id],Table1[[#This Row],[h_id]],Table1[h_hargasetelahdiskon]))</f>
        <v/>
      </c>
      <c r="AF384" s="237" t="str">
        <f>Table1[[#This Row],[Column12]]&amp;Table1[[#This Row],[Unit]]&amp;Table1[[#This Row],[Column13]]</f>
        <v/>
      </c>
      <c r="AG384"/>
      <c r="AH384"/>
      <c r="AI384"/>
    </row>
    <row r="385" spans="1:35">
      <c r="A385" s="234" t="str">
        <f ca="1">IF(Table1[[#This Row],[No. Invoice :]]="","",ROW())</f>
        <v/>
      </c>
      <c r="B385" s="234" t="str">
        <f ca="1">IF(Table1[[#This Row],[Column3]]="","",B$1+COUNT(INDIRECT("B$2:B"&amp;ROW()-1)))</f>
        <v/>
      </c>
      <c r="C385" s="235" t="str">
        <f>IF(Table1[[#This Row],[Column2]]="","",Table1[[#This Row],[Column2]]+C$1-1)</f>
        <v/>
      </c>
      <c r="E385" s="236"/>
      <c r="F385" s="234"/>
      <c r="G385" s="234" t="str">
        <f ca="1">IF(Table1[[#This Row],[h_No. Invoice :]]="","",CONCATENATE("AM"," ",Table1[[#This Row],[h_No. Invoice :]]))</f>
        <v/>
      </c>
      <c r="H385" s="234" t="str">
        <f>IF(Table1[[#This Row],[Column5]]="","",INDEX(Table2[Column1],MATCH(Table1[[#This Row],[Column5]],Table2[a],0)))</f>
        <v/>
      </c>
      <c r="I385" s="234" t="str">
        <f>IF(Table1[[#This Row],[Column3]]=0,"",CONCATENATE(UPPER(Table1[[#This Row],[Column3]])," ",Table1[[#This Row],[Column4]]))</f>
        <v xml:space="preserve"> </v>
      </c>
      <c r="J385" s="234" t="str">
        <f>IF(Table1[[#This Row],[Column5]]="","",INDEX(Table2[e],IF(Table1[[#This Row],[Column5]]="","",MATCH(Table1[[#This Row],[Column5]],Table2[a],0)),))</f>
        <v/>
      </c>
      <c r="K385" s="234"/>
      <c r="L385" s="234"/>
      <c r="O385" s="234" t="str">
        <f>IF(Table1[[#This Row],[h_Item Description]]="","",INDEX([1]!db[NB PAJAK],MATCH(Table1[[#This Row],[h_Item Description]],[1]!db[kode],0)))</f>
        <v/>
      </c>
      <c r="Q385" s="237"/>
      <c r="R385" s="238"/>
      <c r="S385" s="238"/>
      <c r="T385" s="237" t="str">
        <f>Table1[[#This Row],[h_hargasetelahdiskon]]</f>
        <v/>
      </c>
      <c r="V385" s="234"/>
      <c r="W385" s="234" t="str">
        <f ca="1">IF(Table1[[#This Row],[Column12]]="","",IF(Table1[[#This Row],[//]]="",INDIRECT(ADDRESS(ROW()-1,COLUMN())),Table1[[#This Row],[//]]))</f>
        <v/>
      </c>
      <c r="X385" s="234" t="str">
        <f ca="1">IF(Table1[[#This Row],[h_id]]="","",COUNTIF(Table1[h_id],Table1[[#This Row],[h_id]]))</f>
        <v/>
      </c>
      <c r="Y385" s="237" t="str">
        <f>IF(Table1[[#This Row],[Column12]]="","",Table1[[#This Row],[Qty]]*Table1[[#This Row],[Column13]])</f>
        <v/>
      </c>
      <c r="Z385" s="237" t="str">
        <f>IF(Table1[[#This Row],[h_hargasebelumdiskon]]="","",IF(Table1[[#This Row],[Column14]]="",0,Table1[[#This Row],[h_hargasebelumdiskon]]*Table1[[#This Row],[Column14]]))</f>
        <v/>
      </c>
      <c r="AA385" s="237" t="str">
        <f>IF(Table1[[#This Row],[h_hargasebelumdiskon]]="","",IF(Table1[[#This Row],[Column15]]="",0,(Table1[[#This Row],[h_hargasebelumdiskon]]-Table1[[#This Row],[h_disc 1]])*Table1[[#This Row],[Column15]]))</f>
        <v/>
      </c>
      <c r="AB385" s="237" t="str">
        <f>IF(Table1[[#This Row],[Column12]]="","",Table1[[#This Row],[h_disc 1]]+Table1[[#This Row],[h_disc 2]])</f>
        <v/>
      </c>
      <c r="AC385" s="237" t="str">
        <f>IF(Table1[[#This Row],[Column12]]="","",Table1[[#This Row],[h_hargasebelumdiskon]]-Table1[[#This Row],[h_diskon]])</f>
        <v/>
      </c>
      <c r="AD385" s="237" t="str">
        <f ca="1">IF(Table1[[#This Row],[//]]="","",SUMIF(Table1[h_id],Table1[[#This Row],[h_id]],Table1[h_hargasetelahdiskon]))</f>
        <v/>
      </c>
      <c r="AF385" s="237" t="str">
        <f>Table1[[#This Row],[Column12]]&amp;Table1[[#This Row],[Unit]]&amp;Table1[[#This Row],[Column13]]</f>
        <v/>
      </c>
      <c r="AG385"/>
      <c r="AH385"/>
      <c r="AI385"/>
    </row>
    <row r="386" spans="1:35">
      <c r="A386" s="234" t="str">
        <f ca="1">IF(Table1[[#This Row],[No. Invoice :]]="","",ROW())</f>
        <v/>
      </c>
      <c r="B386" s="234" t="str">
        <f ca="1">IF(Table1[[#This Row],[Column3]]="","",B$1+COUNT(INDIRECT("B$2:B"&amp;ROW()-1)))</f>
        <v/>
      </c>
      <c r="C386" s="235" t="str">
        <f>IF(Table1[[#This Row],[Column2]]="","",Table1[[#This Row],[Column2]]+C$1-1)</f>
        <v/>
      </c>
      <c r="E386" s="236"/>
      <c r="F386" s="234"/>
      <c r="G386" s="234" t="str">
        <f ca="1">IF(Table1[[#This Row],[h_No. Invoice :]]="","",CONCATENATE("AM"," ",Table1[[#This Row],[h_No. Invoice :]]))</f>
        <v/>
      </c>
      <c r="H386" s="234" t="str">
        <f>IF(Table1[[#This Row],[Column5]]="","",INDEX(Table2[Column1],MATCH(Table1[[#This Row],[Column5]],Table2[a],0)))</f>
        <v/>
      </c>
      <c r="I386" s="234" t="str">
        <f>IF(Table1[[#This Row],[Column3]]=0,"",CONCATENATE(UPPER(Table1[[#This Row],[Column3]])," ",Table1[[#This Row],[Column4]]))</f>
        <v xml:space="preserve"> </v>
      </c>
      <c r="J386" s="234" t="str">
        <f>IF(Table1[[#This Row],[Column5]]="","",INDEX(Table2[e],IF(Table1[[#This Row],[Column5]]="","",MATCH(Table1[[#This Row],[Column5]],Table2[a],0)),))</f>
        <v/>
      </c>
      <c r="K386" s="234"/>
      <c r="L386" s="234"/>
      <c r="O386" s="234" t="str">
        <f>IF(Table1[[#This Row],[h_Item Description]]="","",INDEX([1]!db[NB PAJAK],MATCH(Table1[[#This Row],[h_Item Description]],[1]!db[kode],0)))</f>
        <v/>
      </c>
      <c r="Q386" s="237"/>
      <c r="R386" s="238"/>
      <c r="S386" s="238"/>
      <c r="T386" s="237" t="str">
        <f>Table1[[#This Row],[h_hargasetelahdiskon]]</f>
        <v/>
      </c>
      <c r="V386" s="234"/>
      <c r="W386" s="234" t="str">
        <f ca="1">IF(Table1[[#This Row],[Column12]]="","",IF(Table1[[#This Row],[//]]="",INDIRECT(ADDRESS(ROW()-1,COLUMN())),Table1[[#This Row],[//]]))</f>
        <v/>
      </c>
      <c r="X386" s="234" t="str">
        <f ca="1">IF(Table1[[#This Row],[h_id]]="","",COUNTIF(Table1[h_id],Table1[[#This Row],[h_id]]))</f>
        <v/>
      </c>
      <c r="Y386" s="237" t="str">
        <f>IF(Table1[[#This Row],[Column12]]="","",Table1[[#This Row],[Qty]]*Table1[[#This Row],[Column13]])</f>
        <v/>
      </c>
      <c r="Z386" s="237" t="str">
        <f>IF(Table1[[#This Row],[h_hargasebelumdiskon]]="","",IF(Table1[[#This Row],[Column14]]="",0,Table1[[#This Row],[h_hargasebelumdiskon]]*Table1[[#This Row],[Column14]]))</f>
        <v/>
      </c>
      <c r="AA386" s="237" t="str">
        <f>IF(Table1[[#This Row],[h_hargasebelumdiskon]]="","",IF(Table1[[#This Row],[Column15]]="",0,(Table1[[#This Row],[h_hargasebelumdiskon]]-Table1[[#This Row],[h_disc 1]])*Table1[[#This Row],[Column15]]))</f>
        <v/>
      </c>
      <c r="AB386" s="237" t="str">
        <f>IF(Table1[[#This Row],[Column12]]="","",Table1[[#This Row],[h_disc 1]]+Table1[[#This Row],[h_disc 2]])</f>
        <v/>
      </c>
      <c r="AC386" s="237" t="str">
        <f>IF(Table1[[#This Row],[Column12]]="","",Table1[[#This Row],[h_hargasebelumdiskon]]-Table1[[#This Row],[h_diskon]])</f>
        <v/>
      </c>
      <c r="AD386" s="237" t="str">
        <f ca="1">IF(Table1[[#This Row],[//]]="","",SUMIF(Table1[h_id],Table1[[#This Row],[h_id]],Table1[h_hargasetelahdiskon]))</f>
        <v/>
      </c>
      <c r="AF386" s="237" t="str">
        <f>Table1[[#This Row],[Column12]]&amp;Table1[[#This Row],[Unit]]&amp;Table1[[#This Row],[Column13]]</f>
        <v/>
      </c>
      <c r="AG386"/>
      <c r="AH386"/>
      <c r="AI386"/>
    </row>
    <row r="387" spans="1:35">
      <c r="A387" s="234" t="str">
        <f ca="1">IF(Table1[[#This Row],[No. Invoice :]]="","",ROW())</f>
        <v/>
      </c>
      <c r="B387" s="234" t="str">
        <f ca="1">IF(Table1[[#This Row],[Column3]]="","",B$1+COUNT(INDIRECT("B$2:B"&amp;ROW()-1)))</f>
        <v/>
      </c>
      <c r="C387" s="235" t="str">
        <f>IF(Table1[[#This Row],[Column2]]="","",Table1[[#This Row],[Column2]]+C$1-1)</f>
        <v/>
      </c>
      <c r="E387" s="236"/>
      <c r="F387" s="234"/>
      <c r="G387" s="234" t="str">
        <f ca="1">IF(Table1[[#This Row],[h_No. Invoice :]]="","",CONCATENATE("AM"," ",Table1[[#This Row],[h_No. Invoice :]]))</f>
        <v/>
      </c>
      <c r="H387" s="234" t="str">
        <f>IF(Table1[[#This Row],[Column5]]="","",INDEX(Table2[Column1],MATCH(Table1[[#This Row],[Column5]],Table2[a],0)))</f>
        <v/>
      </c>
      <c r="I387" s="234" t="str">
        <f>IF(Table1[[#This Row],[Column3]]=0,"",CONCATENATE(UPPER(Table1[[#This Row],[Column3]])," ",Table1[[#This Row],[Column4]]))</f>
        <v xml:space="preserve"> </v>
      </c>
      <c r="J387" s="234" t="str">
        <f>IF(Table1[[#This Row],[Column5]]="","",INDEX(Table2[e],IF(Table1[[#This Row],[Column5]]="","",MATCH(Table1[[#This Row],[Column5]],Table2[a],0)),))</f>
        <v/>
      </c>
      <c r="K387" s="234"/>
      <c r="L387" s="234"/>
      <c r="O387" s="234" t="str">
        <f>IF(Table1[[#This Row],[h_Item Description]]="","",INDEX([1]!db[NB PAJAK],MATCH(Table1[[#This Row],[h_Item Description]],[1]!db[kode],0)))</f>
        <v/>
      </c>
      <c r="Q387" s="237"/>
      <c r="R387" s="238"/>
      <c r="S387" s="238"/>
      <c r="T387" s="237" t="str">
        <f>Table1[[#This Row],[h_hargasetelahdiskon]]</f>
        <v/>
      </c>
      <c r="V387" s="234"/>
      <c r="W387" s="234" t="str">
        <f ca="1">IF(Table1[[#This Row],[Column12]]="","",IF(Table1[[#This Row],[//]]="",INDIRECT(ADDRESS(ROW()-1,COLUMN())),Table1[[#This Row],[//]]))</f>
        <v/>
      </c>
      <c r="X387" s="234" t="str">
        <f ca="1">IF(Table1[[#This Row],[h_id]]="","",COUNTIF(Table1[h_id],Table1[[#This Row],[h_id]]))</f>
        <v/>
      </c>
      <c r="Y387" s="237" t="str">
        <f>IF(Table1[[#This Row],[Column12]]="","",Table1[[#This Row],[Qty]]*Table1[[#This Row],[Column13]])</f>
        <v/>
      </c>
      <c r="Z387" s="237" t="str">
        <f>IF(Table1[[#This Row],[h_hargasebelumdiskon]]="","",IF(Table1[[#This Row],[Column14]]="",0,Table1[[#This Row],[h_hargasebelumdiskon]]*Table1[[#This Row],[Column14]]))</f>
        <v/>
      </c>
      <c r="AA387" s="237" t="str">
        <f>IF(Table1[[#This Row],[h_hargasebelumdiskon]]="","",IF(Table1[[#This Row],[Column15]]="",0,(Table1[[#This Row],[h_hargasebelumdiskon]]-Table1[[#This Row],[h_disc 1]])*Table1[[#This Row],[Column15]]))</f>
        <v/>
      </c>
      <c r="AB387" s="237" t="str">
        <f>IF(Table1[[#This Row],[Column12]]="","",Table1[[#This Row],[h_disc 1]]+Table1[[#This Row],[h_disc 2]])</f>
        <v/>
      </c>
      <c r="AC387" s="237" t="str">
        <f>IF(Table1[[#This Row],[Column12]]="","",Table1[[#This Row],[h_hargasebelumdiskon]]-Table1[[#This Row],[h_diskon]])</f>
        <v/>
      </c>
      <c r="AD387" s="237" t="str">
        <f ca="1">IF(Table1[[#This Row],[//]]="","",SUMIF(Table1[h_id],Table1[[#This Row],[h_id]],Table1[h_hargasetelahdiskon]))</f>
        <v/>
      </c>
      <c r="AF387" s="237" t="str">
        <f>Table1[[#This Row],[Column12]]&amp;Table1[[#This Row],[Unit]]&amp;Table1[[#This Row],[Column13]]</f>
        <v/>
      </c>
      <c r="AG387"/>
      <c r="AH387"/>
      <c r="AI387"/>
    </row>
    <row r="388" spans="1:35">
      <c r="A388" s="234" t="str">
        <f ca="1">IF(Table1[[#This Row],[No. Invoice :]]="","",ROW())</f>
        <v/>
      </c>
      <c r="B388" s="234" t="str">
        <f ca="1">IF(Table1[[#This Row],[Column3]]="","",B$1+COUNT(INDIRECT("B$2:B"&amp;ROW()-1)))</f>
        <v/>
      </c>
      <c r="C388" s="235" t="str">
        <f>IF(Table1[[#This Row],[Column2]]="","",Table1[[#This Row],[Column2]]+C$1-1)</f>
        <v/>
      </c>
      <c r="E388" s="236"/>
      <c r="F388" s="234"/>
      <c r="G388" s="234" t="str">
        <f ca="1">IF(Table1[[#This Row],[h_No. Invoice :]]="","",CONCATENATE("AM"," ",Table1[[#This Row],[h_No. Invoice :]]))</f>
        <v/>
      </c>
      <c r="H388" s="234" t="str">
        <f>IF(Table1[[#This Row],[Column5]]="","",INDEX(Table2[Column1],MATCH(Table1[[#This Row],[Column5]],Table2[a],0)))</f>
        <v/>
      </c>
      <c r="I388" s="234" t="str">
        <f>IF(Table1[[#This Row],[Column3]]=0,"",CONCATENATE(UPPER(Table1[[#This Row],[Column3]])," ",Table1[[#This Row],[Column4]]))</f>
        <v xml:space="preserve"> </v>
      </c>
      <c r="J388" s="234" t="str">
        <f>IF(Table1[[#This Row],[Column5]]="","",INDEX(Table2[e],IF(Table1[[#This Row],[Column5]]="","",MATCH(Table1[[#This Row],[Column5]],Table2[a],0)),))</f>
        <v/>
      </c>
      <c r="K388" s="234"/>
      <c r="L388" s="234"/>
      <c r="O388" s="234" t="str">
        <f>IF(Table1[[#This Row],[h_Item Description]]="","",INDEX([1]!db[NB PAJAK],MATCH(Table1[[#This Row],[h_Item Description]],[1]!db[kode],0)))</f>
        <v/>
      </c>
      <c r="Q388" s="237"/>
      <c r="R388" s="238"/>
      <c r="S388" s="238"/>
      <c r="T388" s="237" t="str">
        <f>Table1[[#This Row],[h_hargasetelahdiskon]]</f>
        <v/>
      </c>
      <c r="V388" s="234"/>
      <c r="W388" s="234" t="str">
        <f ca="1">IF(Table1[[#This Row],[Column12]]="","",IF(Table1[[#This Row],[//]]="",INDIRECT(ADDRESS(ROW()-1,COLUMN())),Table1[[#This Row],[//]]))</f>
        <v/>
      </c>
      <c r="X388" s="234" t="str">
        <f ca="1">IF(Table1[[#This Row],[h_id]]="","",COUNTIF(Table1[h_id],Table1[[#This Row],[h_id]]))</f>
        <v/>
      </c>
      <c r="Y388" s="237" t="str">
        <f>IF(Table1[[#This Row],[Column12]]="","",Table1[[#This Row],[Qty]]*Table1[[#This Row],[Column13]])</f>
        <v/>
      </c>
      <c r="Z388" s="237" t="str">
        <f>IF(Table1[[#This Row],[h_hargasebelumdiskon]]="","",IF(Table1[[#This Row],[Column14]]="",0,Table1[[#This Row],[h_hargasebelumdiskon]]*Table1[[#This Row],[Column14]]))</f>
        <v/>
      </c>
      <c r="AA388" s="237" t="str">
        <f>IF(Table1[[#This Row],[h_hargasebelumdiskon]]="","",IF(Table1[[#This Row],[Column15]]="",0,(Table1[[#This Row],[h_hargasebelumdiskon]]-Table1[[#This Row],[h_disc 1]])*Table1[[#This Row],[Column15]]))</f>
        <v/>
      </c>
      <c r="AB388" s="237" t="str">
        <f>IF(Table1[[#This Row],[Column12]]="","",Table1[[#This Row],[h_disc 1]]+Table1[[#This Row],[h_disc 2]])</f>
        <v/>
      </c>
      <c r="AC388" s="237" t="str">
        <f>IF(Table1[[#This Row],[Column12]]="","",Table1[[#This Row],[h_hargasebelumdiskon]]-Table1[[#This Row],[h_diskon]])</f>
        <v/>
      </c>
      <c r="AD388" s="237" t="str">
        <f ca="1">IF(Table1[[#This Row],[//]]="","",SUMIF(Table1[h_id],Table1[[#This Row],[h_id]],Table1[h_hargasetelahdiskon]))</f>
        <v/>
      </c>
      <c r="AF388" s="237" t="str">
        <f>Table1[[#This Row],[Column12]]&amp;Table1[[#This Row],[Unit]]&amp;Table1[[#This Row],[Column13]]</f>
        <v/>
      </c>
      <c r="AG388"/>
      <c r="AH388"/>
      <c r="AI388"/>
    </row>
    <row r="389" spans="1:35">
      <c r="A389" s="234" t="str">
        <f ca="1">IF(Table1[[#This Row],[No. Invoice :]]="","",ROW())</f>
        <v/>
      </c>
      <c r="B389" s="234" t="str">
        <f ca="1">IF(Table1[[#This Row],[Column3]]="","",B$1+COUNT(INDIRECT("B$2:B"&amp;ROW()-1)))</f>
        <v/>
      </c>
      <c r="C389" s="235" t="str">
        <f>IF(Table1[[#This Row],[Column2]]="","",Table1[[#This Row],[Column2]]+C$1-1)</f>
        <v/>
      </c>
      <c r="E389" s="236"/>
      <c r="F389" s="234"/>
      <c r="G389" s="234" t="str">
        <f ca="1">IF(Table1[[#This Row],[h_No. Invoice :]]="","",CONCATENATE("AM"," ",Table1[[#This Row],[h_No. Invoice :]]))</f>
        <v/>
      </c>
      <c r="H389" s="234" t="str">
        <f>IF(Table1[[#This Row],[Column5]]="","",INDEX(Table2[Column1],MATCH(Table1[[#This Row],[Column5]],Table2[a],0)))</f>
        <v/>
      </c>
      <c r="I389" s="234" t="str">
        <f>IF(Table1[[#This Row],[Column3]]=0,"",CONCATENATE(UPPER(Table1[[#This Row],[Column3]])," ",Table1[[#This Row],[Column4]]))</f>
        <v xml:space="preserve"> </v>
      </c>
      <c r="J389" s="234" t="str">
        <f>IF(Table1[[#This Row],[Column5]]="","",INDEX(Table2[e],IF(Table1[[#This Row],[Column5]]="","",MATCH(Table1[[#This Row],[Column5]],Table2[a],0)),))</f>
        <v/>
      </c>
      <c r="K389" s="234"/>
      <c r="L389" s="234"/>
      <c r="O389" s="234" t="str">
        <f>IF(Table1[[#This Row],[h_Item Description]]="","",INDEX([1]!db[NB PAJAK],MATCH(Table1[[#This Row],[h_Item Description]],[1]!db[kode],0)))</f>
        <v/>
      </c>
      <c r="Q389" s="237"/>
      <c r="R389" s="238"/>
      <c r="S389" s="238"/>
      <c r="T389" s="237" t="str">
        <f>Table1[[#This Row],[h_hargasetelahdiskon]]</f>
        <v/>
      </c>
      <c r="V389" s="234"/>
      <c r="W389" s="234" t="str">
        <f ca="1">IF(Table1[[#This Row],[Column12]]="","",IF(Table1[[#This Row],[//]]="",INDIRECT(ADDRESS(ROW()-1,COLUMN())),Table1[[#This Row],[//]]))</f>
        <v/>
      </c>
      <c r="X389" s="234" t="str">
        <f ca="1">IF(Table1[[#This Row],[h_id]]="","",COUNTIF(Table1[h_id],Table1[[#This Row],[h_id]]))</f>
        <v/>
      </c>
      <c r="Y389" s="237" t="str">
        <f>IF(Table1[[#This Row],[Column12]]="","",Table1[[#This Row],[Qty]]*Table1[[#This Row],[Column13]])</f>
        <v/>
      </c>
      <c r="Z389" s="237" t="str">
        <f>IF(Table1[[#This Row],[h_hargasebelumdiskon]]="","",IF(Table1[[#This Row],[Column14]]="",0,Table1[[#This Row],[h_hargasebelumdiskon]]*Table1[[#This Row],[Column14]]))</f>
        <v/>
      </c>
      <c r="AA389" s="237" t="str">
        <f>IF(Table1[[#This Row],[h_hargasebelumdiskon]]="","",IF(Table1[[#This Row],[Column15]]="",0,(Table1[[#This Row],[h_hargasebelumdiskon]]-Table1[[#This Row],[h_disc 1]])*Table1[[#This Row],[Column15]]))</f>
        <v/>
      </c>
      <c r="AB389" s="237" t="str">
        <f>IF(Table1[[#This Row],[Column12]]="","",Table1[[#This Row],[h_disc 1]]+Table1[[#This Row],[h_disc 2]])</f>
        <v/>
      </c>
      <c r="AC389" s="237" t="str">
        <f>IF(Table1[[#This Row],[Column12]]="","",Table1[[#This Row],[h_hargasebelumdiskon]]-Table1[[#This Row],[h_diskon]])</f>
        <v/>
      </c>
      <c r="AD389" s="237" t="str">
        <f ca="1">IF(Table1[[#This Row],[//]]="","",SUMIF(Table1[h_id],Table1[[#This Row],[h_id]],Table1[h_hargasetelahdiskon]))</f>
        <v/>
      </c>
      <c r="AF389" s="237" t="str">
        <f>Table1[[#This Row],[Column12]]&amp;Table1[[#This Row],[Unit]]&amp;Table1[[#This Row],[Column13]]</f>
        <v/>
      </c>
      <c r="AG389"/>
      <c r="AH389"/>
      <c r="AI389"/>
    </row>
    <row r="390" spans="1:35">
      <c r="A390" s="234" t="str">
        <f ca="1">IF(Table1[[#This Row],[No. Invoice :]]="","",ROW())</f>
        <v/>
      </c>
      <c r="B390" s="234" t="str">
        <f ca="1">IF(Table1[[#This Row],[Column3]]="","",B$1+COUNT(INDIRECT("B$2:B"&amp;ROW()-1)))</f>
        <v/>
      </c>
      <c r="C390" s="235" t="str">
        <f>IF(Table1[[#This Row],[Column2]]="","",Table1[[#This Row],[Column2]]+C$1-1)</f>
        <v/>
      </c>
      <c r="E390" s="236"/>
      <c r="F390" s="234"/>
      <c r="G390" s="234" t="str">
        <f ca="1">IF(Table1[[#This Row],[h_No. Invoice :]]="","",CONCATENATE("AM"," ",Table1[[#This Row],[h_No. Invoice :]]))</f>
        <v/>
      </c>
      <c r="H390" s="234" t="str">
        <f>IF(Table1[[#This Row],[Column5]]="","",INDEX(Table2[Column1],MATCH(Table1[[#This Row],[Column5]],Table2[a],0)))</f>
        <v/>
      </c>
      <c r="I390" s="234" t="str">
        <f>IF(Table1[[#This Row],[Column3]]=0,"",CONCATENATE(UPPER(Table1[[#This Row],[Column3]])," ",Table1[[#This Row],[Column4]]))</f>
        <v xml:space="preserve"> </v>
      </c>
      <c r="J390" s="234" t="str">
        <f>IF(Table1[[#This Row],[Column5]]="","",INDEX(Table2[e],IF(Table1[[#This Row],[Column5]]="","",MATCH(Table1[[#This Row],[Column5]],Table2[a],0)),))</f>
        <v/>
      </c>
      <c r="K390" s="234"/>
      <c r="L390" s="234"/>
      <c r="O390" s="234" t="str">
        <f>IF(Table1[[#This Row],[h_Item Description]]="","",INDEX([1]!db[NB PAJAK],MATCH(Table1[[#This Row],[h_Item Description]],[1]!db[kode],0)))</f>
        <v/>
      </c>
      <c r="Q390" s="237"/>
      <c r="R390" s="238"/>
      <c r="S390" s="238"/>
      <c r="T390" s="237" t="str">
        <f>Table1[[#This Row],[h_hargasetelahdiskon]]</f>
        <v/>
      </c>
      <c r="V390" s="234"/>
      <c r="W390" s="234" t="str">
        <f ca="1">IF(Table1[[#This Row],[Column12]]="","",IF(Table1[[#This Row],[//]]="",INDIRECT(ADDRESS(ROW()-1,COLUMN())),Table1[[#This Row],[//]]))</f>
        <v/>
      </c>
      <c r="X390" s="234" t="str">
        <f ca="1">IF(Table1[[#This Row],[h_id]]="","",COUNTIF(Table1[h_id],Table1[[#This Row],[h_id]]))</f>
        <v/>
      </c>
      <c r="Y390" s="237" t="str">
        <f>IF(Table1[[#This Row],[Column12]]="","",Table1[[#This Row],[Qty]]*Table1[[#This Row],[Column13]])</f>
        <v/>
      </c>
      <c r="Z390" s="237" t="str">
        <f>IF(Table1[[#This Row],[h_hargasebelumdiskon]]="","",IF(Table1[[#This Row],[Column14]]="",0,Table1[[#This Row],[h_hargasebelumdiskon]]*Table1[[#This Row],[Column14]]))</f>
        <v/>
      </c>
      <c r="AA390" s="237" t="str">
        <f>IF(Table1[[#This Row],[h_hargasebelumdiskon]]="","",IF(Table1[[#This Row],[Column15]]="",0,(Table1[[#This Row],[h_hargasebelumdiskon]]-Table1[[#This Row],[h_disc 1]])*Table1[[#This Row],[Column15]]))</f>
        <v/>
      </c>
      <c r="AB390" s="237" t="str">
        <f>IF(Table1[[#This Row],[Column12]]="","",Table1[[#This Row],[h_disc 1]]+Table1[[#This Row],[h_disc 2]])</f>
        <v/>
      </c>
      <c r="AC390" s="237" t="str">
        <f>IF(Table1[[#This Row],[Column12]]="","",Table1[[#This Row],[h_hargasebelumdiskon]]-Table1[[#This Row],[h_diskon]])</f>
        <v/>
      </c>
      <c r="AD390" s="237" t="str">
        <f ca="1">IF(Table1[[#This Row],[//]]="","",SUMIF(Table1[h_id],Table1[[#This Row],[h_id]],Table1[h_hargasetelahdiskon]))</f>
        <v/>
      </c>
      <c r="AF390" s="237" t="str">
        <f>Table1[[#This Row],[Column12]]&amp;Table1[[#This Row],[Unit]]&amp;Table1[[#This Row],[Column13]]</f>
        <v/>
      </c>
      <c r="AG390"/>
      <c r="AH390"/>
      <c r="AI390"/>
    </row>
    <row r="391" spans="1:35">
      <c r="A391" s="234" t="str">
        <f ca="1">IF(Table1[[#This Row],[No. Invoice :]]="","",ROW())</f>
        <v/>
      </c>
      <c r="B391" s="234" t="str">
        <f ca="1">IF(Table1[[#This Row],[Column3]]="","",B$1+COUNT(INDIRECT("B$2:B"&amp;ROW()-1)))</f>
        <v/>
      </c>
      <c r="C391" s="235" t="str">
        <f>IF(Table1[[#This Row],[Column2]]="","",Table1[[#This Row],[Column2]]+C$1-1)</f>
        <v/>
      </c>
      <c r="E391" s="236"/>
      <c r="F391" s="234"/>
      <c r="G391" s="234" t="str">
        <f ca="1">IF(Table1[[#This Row],[h_No. Invoice :]]="","",CONCATENATE("AM"," ",Table1[[#This Row],[h_No. Invoice :]]))</f>
        <v/>
      </c>
      <c r="H391" s="234" t="str">
        <f>IF(Table1[[#This Row],[Column5]]="","",INDEX(Table2[Column1],MATCH(Table1[[#This Row],[Column5]],Table2[a],0)))</f>
        <v/>
      </c>
      <c r="I391" s="234" t="str">
        <f>IF(Table1[[#This Row],[Column3]]=0,"",CONCATENATE(UPPER(Table1[[#This Row],[Column3]])," ",Table1[[#This Row],[Column4]]))</f>
        <v xml:space="preserve"> </v>
      </c>
      <c r="J391" s="234" t="str">
        <f>IF(Table1[[#This Row],[Column5]]="","",INDEX(Table2[e],IF(Table1[[#This Row],[Column5]]="","",MATCH(Table1[[#This Row],[Column5]],Table2[a],0)),))</f>
        <v/>
      </c>
      <c r="K391" s="234"/>
      <c r="L391" s="234"/>
      <c r="O391" s="234" t="str">
        <f>IF(Table1[[#This Row],[h_Item Description]]="","",INDEX([1]!db[NB PAJAK],MATCH(Table1[[#This Row],[h_Item Description]],[1]!db[kode],0)))</f>
        <v/>
      </c>
      <c r="Q391" s="237"/>
      <c r="R391" s="238"/>
      <c r="S391" s="238"/>
      <c r="T391" s="237" t="str">
        <f>Table1[[#This Row],[h_hargasetelahdiskon]]</f>
        <v/>
      </c>
      <c r="V391" s="234"/>
      <c r="W391" s="234" t="str">
        <f ca="1">IF(Table1[[#This Row],[Column12]]="","",IF(Table1[[#This Row],[//]]="",INDIRECT(ADDRESS(ROW()-1,COLUMN())),Table1[[#This Row],[//]]))</f>
        <v/>
      </c>
      <c r="X391" s="234" t="str">
        <f ca="1">IF(Table1[[#This Row],[h_id]]="","",COUNTIF(Table1[h_id],Table1[[#This Row],[h_id]]))</f>
        <v/>
      </c>
      <c r="Y391" s="237" t="str">
        <f>IF(Table1[[#This Row],[Column12]]="","",Table1[[#This Row],[Qty]]*Table1[[#This Row],[Column13]])</f>
        <v/>
      </c>
      <c r="Z391" s="237" t="str">
        <f>IF(Table1[[#This Row],[h_hargasebelumdiskon]]="","",IF(Table1[[#This Row],[Column14]]="",0,Table1[[#This Row],[h_hargasebelumdiskon]]*Table1[[#This Row],[Column14]]))</f>
        <v/>
      </c>
      <c r="AA391" s="237" t="str">
        <f>IF(Table1[[#This Row],[h_hargasebelumdiskon]]="","",IF(Table1[[#This Row],[Column15]]="",0,(Table1[[#This Row],[h_hargasebelumdiskon]]-Table1[[#This Row],[h_disc 1]])*Table1[[#This Row],[Column15]]))</f>
        <v/>
      </c>
      <c r="AB391" s="237" t="str">
        <f>IF(Table1[[#This Row],[Column12]]="","",Table1[[#This Row],[h_disc 1]]+Table1[[#This Row],[h_disc 2]])</f>
        <v/>
      </c>
      <c r="AC391" s="237" t="str">
        <f>IF(Table1[[#This Row],[Column12]]="","",Table1[[#This Row],[h_hargasebelumdiskon]]-Table1[[#This Row],[h_diskon]])</f>
        <v/>
      </c>
      <c r="AD391" s="237" t="str">
        <f ca="1">IF(Table1[[#This Row],[//]]="","",SUMIF(Table1[h_id],Table1[[#This Row],[h_id]],Table1[h_hargasetelahdiskon]))</f>
        <v/>
      </c>
      <c r="AF391" s="237" t="str">
        <f>Table1[[#This Row],[Column12]]&amp;Table1[[#This Row],[Unit]]&amp;Table1[[#This Row],[Column13]]</f>
        <v/>
      </c>
      <c r="AG391"/>
      <c r="AH391"/>
      <c r="AI391"/>
    </row>
    <row r="392" spans="1:35">
      <c r="A392" s="234" t="str">
        <f ca="1">IF(Table1[[#This Row],[No. Invoice :]]="","",ROW())</f>
        <v/>
      </c>
      <c r="B392" s="234" t="str">
        <f ca="1">IF(Table1[[#This Row],[Column3]]="","",B$1+COUNT(INDIRECT("B$2:B"&amp;ROW()-1)))</f>
        <v/>
      </c>
      <c r="C392" s="235" t="str">
        <f>IF(Table1[[#This Row],[Column2]]="","",Table1[[#This Row],[Column2]]+C$1-1)</f>
        <v/>
      </c>
      <c r="E392" s="236"/>
      <c r="F392" s="234"/>
      <c r="G392" s="234" t="str">
        <f ca="1">IF(Table1[[#This Row],[h_No. Invoice :]]="","",CONCATENATE("AM"," ",Table1[[#This Row],[h_No. Invoice :]]))</f>
        <v/>
      </c>
      <c r="H392" s="234" t="str">
        <f>IF(Table1[[#This Row],[Column5]]="","",INDEX(Table2[Column1],MATCH(Table1[[#This Row],[Column5]],Table2[a],0)))</f>
        <v/>
      </c>
      <c r="I392" s="234" t="str">
        <f>IF(Table1[[#This Row],[Column3]]=0,"",CONCATENATE(UPPER(Table1[[#This Row],[Column3]])," ",Table1[[#This Row],[Column4]]))</f>
        <v xml:space="preserve"> </v>
      </c>
      <c r="J392" s="234" t="str">
        <f>IF(Table1[[#This Row],[Column5]]="","",INDEX(Table2[e],IF(Table1[[#This Row],[Column5]]="","",MATCH(Table1[[#This Row],[Column5]],Table2[a],0)),))</f>
        <v/>
      </c>
      <c r="K392" s="234"/>
      <c r="L392" s="234"/>
      <c r="O392" s="234" t="str">
        <f>IF(Table1[[#This Row],[h_Item Description]]="","",INDEX([1]!db[NB PAJAK],MATCH(Table1[[#This Row],[h_Item Description]],[1]!db[kode],0)))</f>
        <v/>
      </c>
      <c r="Q392" s="237"/>
      <c r="R392" s="238"/>
      <c r="S392" s="238"/>
      <c r="T392" s="237" t="str">
        <f>Table1[[#This Row],[h_hargasetelahdiskon]]</f>
        <v/>
      </c>
      <c r="V392" s="234"/>
      <c r="W392" s="234" t="str">
        <f ca="1">IF(Table1[[#This Row],[Column12]]="","",IF(Table1[[#This Row],[//]]="",INDIRECT(ADDRESS(ROW()-1,COLUMN())),Table1[[#This Row],[//]]))</f>
        <v/>
      </c>
      <c r="X392" s="234" t="str">
        <f ca="1">IF(Table1[[#This Row],[h_id]]="","",COUNTIF(Table1[h_id],Table1[[#This Row],[h_id]]))</f>
        <v/>
      </c>
      <c r="Y392" s="237" t="str">
        <f>IF(Table1[[#This Row],[Column12]]="","",Table1[[#This Row],[Qty]]*Table1[[#This Row],[Column13]])</f>
        <v/>
      </c>
      <c r="Z392" s="237" t="str">
        <f>IF(Table1[[#This Row],[h_hargasebelumdiskon]]="","",IF(Table1[[#This Row],[Column14]]="",0,Table1[[#This Row],[h_hargasebelumdiskon]]*Table1[[#This Row],[Column14]]))</f>
        <v/>
      </c>
      <c r="AA392" s="237" t="str">
        <f>IF(Table1[[#This Row],[h_hargasebelumdiskon]]="","",IF(Table1[[#This Row],[Column15]]="",0,(Table1[[#This Row],[h_hargasebelumdiskon]]-Table1[[#This Row],[h_disc 1]])*Table1[[#This Row],[Column15]]))</f>
        <v/>
      </c>
      <c r="AB392" s="237" t="str">
        <f>IF(Table1[[#This Row],[Column12]]="","",Table1[[#This Row],[h_disc 1]]+Table1[[#This Row],[h_disc 2]])</f>
        <v/>
      </c>
      <c r="AC392" s="237" t="str">
        <f>IF(Table1[[#This Row],[Column12]]="","",Table1[[#This Row],[h_hargasebelumdiskon]]-Table1[[#This Row],[h_diskon]])</f>
        <v/>
      </c>
      <c r="AD392" s="237" t="str">
        <f ca="1">IF(Table1[[#This Row],[//]]="","",SUMIF(Table1[h_id],Table1[[#This Row],[h_id]],Table1[h_hargasetelahdiskon]))</f>
        <v/>
      </c>
      <c r="AF392" s="237" t="str">
        <f>Table1[[#This Row],[Column12]]&amp;Table1[[#This Row],[Unit]]&amp;Table1[[#This Row],[Column13]]</f>
        <v/>
      </c>
      <c r="AG392"/>
      <c r="AH392"/>
      <c r="AI392"/>
    </row>
    <row r="393" spans="1:35">
      <c r="A393" s="234" t="str">
        <f ca="1">IF(Table1[[#This Row],[No. Invoice :]]="","",ROW())</f>
        <v/>
      </c>
      <c r="B393" s="234" t="str">
        <f ca="1">IF(Table1[[#This Row],[Column3]]="","",B$1+COUNT(INDIRECT("B$2:B"&amp;ROW()-1)))</f>
        <v/>
      </c>
      <c r="C393" s="235" t="str">
        <f>IF(Table1[[#This Row],[Column2]]="","",Table1[[#This Row],[Column2]]+C$1-1)</f>
        <v/>
      </c>
      <c r="E393" s="236"/>
      <c r="F393" s="234"/>
      <c r="G393" s="234" t="str">
        <f ca="1">IF(Table1[[#This Row],[h_No. Invoice :]]="","",CONCATENATE("AM"," ",Table1[[#This Row],[h_No. Invoice :]]))</f>
        <v/>
      </c>
      <c r="H393" s="234" t="str">
        <f>IF(Table1[[#This Row],[Column5]]="","",INDEX(Table2[Column1],MATCH(Table1[[#This Row],[Column5]],Table2[a],0)))</f>
        <v/>
      </c>
      <c r="I393" s="234" t="str">
        <f>IF(Table1[[#This Row],[Column3]]=0,"",CONCATENATE(UPPER(Table1[[#This Row],[Column3]])," ",Table1[[#This Row],[Column4]]))</f>
        <v xml:space="preserve"> </v>
      </c>
      <c r="J393" s="234" t="str">
        <f>IF(Table1[[#This Row],[Column5]]="","",INDEX(Table2[e],IF(Table1[[#This Row],[Column5]]="","",MATCH(Table1[[#This Row],[Column5]],Table2[a],0)),))</f>
        <v/>
      </c>
      <c r="K393" s="234"/>
      <c r="L393" s="234"/>
      <c r="O393" s="234" t="str">
        <f>IF(Table1[[#This Row],[h_Item Description]]="","",INDEX([1]!db[NB PAJAK],MATCH(Table1[[#This Row],[h_Item Description]],[1]!db[kode],0)))</f>
        <v/>
      </c>
      <c r="Q393" s="237"/>
      <c r="R393" s="238"/>
      <c r="S393" s="238"/>
      <c r="T393" s="237" t="str">
        <f>Table1[[#This Row],[h_hargasetelahdiskon]]</f>
        <v/>
      </c>
      <c r="V393" s="234"/>
      <c r="W393" s="234" t="str">
        <f ca="1">IF(Table1[[#This Row],[Column12]]="","",IF(Table1[[#This Row],[//]]="",INDIRECT(ADDRESS(ROW()-1,COLUMN())),Table1[[#This Row],[//]]))</f>
        <v/>
      </c>
      <c r="X393" s="234" t="str">
        <f ca="1">IF(Table1[[#This Row],[h_id]]="","",COUNTIF(Table1[h_id],Table1[[#This Row],[h_id]]))</f>
        <v/>
      </c>
      <c r="Y393" s="237" t="str">
        <f>IF(Table1[[#This Row],[Column12]]="","",Table1[[#This Row],[Qty]]*Table1[[#This Row],[Column13]])</f>
        <v/>
      </c>
      <c r="Z393" s="237" t="str">
        <f>IF(Table1[[#This Row],[h_hargasebelumdiskon]]="","",IF(Table1[[#This Row],[Column14]]="",0,Table1[[#This Row],[h_hargasebelumdiskon]]*Table1[[#This Row],[Column14]]))</f>
        <v/>
      </c>
      <c r="AA393" s="237" t="str">
        <f>IF(Table1[[#This Row],[h_hargasebelumdiskon]]="","",IF(Table1[[#This Row],[Column15]]="",0,(Table1[[#This Row],[h_hargasebelumdiskon]]-Table1[[#This Row],[h_disc 1]])*Table1[[#This Row],[Column15]]))</f>
        <v/>
      </c>
      <c r="AB393" s="237" t="str">
        <f>IF(Table1[[#This Row],[Column12]]="","",Table1[[#This Row],[h_disc 1]]+Table1[[#This Row],[h_disc 2]])</f>
        <v/>
      </c>
      <c r="AC393" s="237" t="str">
        <f>IF(Table1[[#This Row],[Column12]]="","",Table1[[#This Row],[h_hargasebelumdiskon]]-Table1[[#This Row],[h_diskon]])</f>
        <v/>
      </c>
      <c r="AD393" s="237" t="str">
        <f ca="1">IF(Table1[[#This Row],[//]]="","",SUMIF(Table1[h_id],Table1[[#This Row],[h_id]],Table1[h_hargasetelahdiskon]))</f>
        <v/>
      </c>
      <c r="AF393" s="237" t="str">
        <f>Table1[[#This Row],[Column12]]&amp;Table1[[#This Row],[Unit]]&amp;Table1[[#This Row],[Column13]]</f>
        <v/>
      </c>
      <c r="AG393"/>
      <c r="AH393"/>
      <c r="AI393"/>
    </row>
    <row r="394" spans="1:35">
      <c r="A394" s="234" t="str">
        <f ca="1">IF(Table1[[#This Row],[No. Invoice :]]="","",ROW())</f>
        <v/>
      </c>
      <c r="B394" s="234" t="str">
        <f ca="1">IF(Table1[[#This Row],[Column3]]="","",B$1+COUNT(INDIRECT("B$2:B"&amp;ROW()-1)))</f>
        <v/>
      </c>
      <c r="C394" s="235" t="str">
        <f>IF(Table1[[#This Row],[Column2]]="","",Table1[[#This Row],[Column2]]+C$1-1)</f>
        <v/>
      </c>
      <c r="E394" s="236"/>
      <c r="F394" s="234"/>
      <c r="G394" s="234" t="str">
        <f ca="1">IF(Table1[[#This Row],[h_No. Invoice :]]="","",CONCATENATE("AM"," ",Table1[[#This Row],[h_No. Invoice :]]))</f>
        <v/>
      </c>
      <c r="H394" s="234" t="str">
        <f>IF(Table1[[#This Row],[Column5]]="","",INDEX(Table2[Column1],MATCH(Table1[[#This Row],[Column5]],Table2[a],0)))</f>
        <v/>
      </c>
      <c r="I394" s="234" t="str">
        <f>IF(Table1[[#This Row],[Column3]]=0,"",CONCATENATE(UPPER(Table1[[#This Row],[Column3]])," ",Table1[[#This Row],[Column4]]))</f>
        <v xml:space="preserve"> </v>
      </c>
      <c r="J394" s="234" t="str">
        <f>IF(Table1[[#This Row],[Column5]]="","",INDEX(Table2[e],IF(Table1[[#This Row],[Column5]]="","",MATCH(Table1[[#This Row],[Column5]],Table2[a],0)),))</f>
        <v/>
      </c>
      <c r="K394" s="234"/>
      <c r="L394" s="234"/>
      <c r="O394" s="234" t="str">
        <f>IF(Table1[[#This Row],[h_Item Description]]="","",INDEX([1]!db[NB PAJAK],MATCH(Table1[[#This Row],[h_Item Description]],[1]!db[kode],0)))</f>
        <v/>
      </c>
      <c r="Q394" s="237"/>
      <c r="R394" s="238"/>
      <c r="S394" s="238"/>
      <c r="T394" s="237" t="str">
        <f>Table1[[#This Row],[h_hargasetelahdiskon]]</f>
        <v/>
      </c>
      <c r="V394" s="234"/>
      <c r="W394" s="234" t="str">
        <f ca="1">IF(Table1[[#This Row],[Column12]]="","",IF(Table1[[#This Row],[//]]="",INDIRECT(ADDRESS(ROW()-1,COLUMN())),Table1[[#This Row],[//]]))</f>
        <v/>
      </c>
      <c r="X394" s="234" t="str">
        <f ca="1">IF(Table1[[#This Row],[h_id]]="","",COUNTIF(Table1[h_id],Table1[[#This Row],[h_id]]))</f>
        <v/>
      </c>
      <c r="Y394" s="237" t="str">
        <f>IF(Table1[[#This Row],[Column12]]="","",Table1[[#This Row],[Qty]]*Table1[[#This Row],[Column13]])</f>
        <v/>
      </c>
      <c r="Z394" s="237" t="str">
        <f>IF(Table1[[#This Row],[h_hargasebelumdiskon]]="","",IF(Table1[[#This Row],[Column14]]="",0,Table1[[#This Row],[h_hargasebelumdiskon]]*Table1[[#This Row],[Column14]]))</f>
        <v/>
      </c>
      <c r="AA394" s="237" t="str">
        <f>IF(Table1[[#This Row],[h_hargasebelumdiskon]]="","",IF(Table1[[#This Row],[Column15]]="",0,(Table1[[#This Row],[h_hargasebelumdiskon]]-Table1[[#This Row],[h_disc 1]])*Table1[[#This Row],[Column15]]))</f>
        <v/>
      </c>
      <c r="AB394" s="237" t="str">
        <f>IF(Table1[[#This Row],[Column12]]="","",Table1[[#This Row],[h_disc 1]]+Table1[[#This Row],[h_disc 2]])</f>
        <v/>
      </c>
      <c r="AC394" s="237" t="str">
        <f>IF(Table1[[#This Row],[Column12]]="","",Table1[[#This Row],[h_hargasebelumdiskon]]-Table1[[#This Row],[h_diskon]])</f>
        <v/>
      </c>
      <c r="AD394" s="237" t="str">
        <f ca="1">IF(Table1[[#This Row],[//]]="","",SUMIF(Table1[h_id],Table1[[#This Row],[h_id]],Table1[h_hargasetelahdiskon]))</f>
        <v/>
      </c>
      <c r="AF394" s="237" t="str">
        <f>Table1[[#This Row],[Column12]]&amp;Table1[[#This Row],[Unit]]&amp;Table1[[#This Row],[Column13]]</f>
        <v/>
      </c>
      <c r="AG394"/>
      <c r="AH394"/>
      <c r="AI394"/>
    </row>
    <row r="395" spans="1:35">
      <c r="A395" s="234" t="str">
        <f ca="1">IF(Table1[[#This Row],[No. Invoice :]]="","",ROW())</f>
        <v/>
      </c>
      <c r="B395" s="234" t="str">
        <f ca="1">IF(Table1[[#This Row],[Column3]]="","",B$1+COUNT(INDIRECT("B$2:B"&amp;ROW()-1)))</f>
        <v/>
      </c>
      <c r="C395" s="235" t="str">
        <f>IF(Table1[[#This Row],[Column2]]="","",Table1[[#This Row],[Column2]]+C$1-1)</f>
        <v/>
      </c>
      <c r="E395" s="236"/>
      <c r="F395" s="234"/>
      <c r="G395" s="234" t="str">
        <f ca="1">IF(Table1[[#This Row],[h_No. Invoice :]]="","",CONCATENATE("AM"," ",Table1[[#This Row],[h_No. Invoice :]]))</f>
        <v/>
      </c>
      <c r="H395" s="234" t="str">
        <f>IF(Table1[[#This Row],[Column5]]="","",INDEX(Table2[Column1],MATCH(Table1[[#This Row],[Column5]],Table2[a],0)))</f>
        <v/>
      </c>
      <c r="I395" s="234" t="str">
        <f>IF(Table1[[#This Row],[Column3]]=0,"",CONCATENATE(UPPER(Table1[[#This Row],[Column3]])," ",Table1[[#This Row],[Column4]]))</f>
        <v xml:space="preserve"> </v>
      </c>
      <c r="J395" s="234" t="str">
        <f>IF(Table1[[#This Row],[Column5]]="","",INDEX(Table2[e],IF(Table1[[#This Row],[Column5]]="","",MATCH(Table1[[#This Row],[Column5]],Table2[a],0)),))</f>
        <v/>
      </c>
      <c r="K395" s="234"/>
      <c r="L395" s="234"/>
      <c r="O395" s="234" t="str">
        <f>IF(Table1[[#This Row],[h_Item Description]]="","",INDEX([1]!db[NB PAJAK],MATCH(Table1[[#This Row],[h_Item Description]],[1]!db[kode],0)))</f>
        <v/>
      </c>
      <c r="Q395" s="237"/>
      <c r="R395" s="238"/>
      <c r="S395" s="238"/>
      <c r="T395" s="237" t="str">
        <f>Table1[[#This Row],[h_hargasetelahdiskon]]</f>
        <v/>
      </c>
      <c r="V395" s="234"/>
      <c r="W395" s="234" t="str">
        <f ca="1">IF(Table1[[#This Row],[Column12]]="","",IF(Table1[[#This Row],[//]]="",INDIRECT(ADDRESS(ROW()-1,COLUMN())),Table1[[#This Row],[//]]))</f>
        <v/>
      </c>
      <c r="X395" s="234" t="str">
        <f ca="1">IF(Table1[[#This Row],[h_id]]="","",COUNTIF(Table1[h_id],Table1[[#This Row],[h_id]]))</f>
        <v/>
      </c>
      <c r="Y395" s="237" t="str">
        <f>IF(Table1[[#This Row],[Column12]]="","",Table1[[#This Row],[Qty]]*Table1[[#This Row],[Column13]])</f>
        <v/>
      </c>
      <c r="Z395" s="237" t="str">
        <f>IF(Table1[[#This Row],[h_hargasebelumdiskon]]="","",IF(Table1[[#This Row],[Column14]]="",0,Table1[[#This Row],[h_hargasebelumdiskon]]*Table1[[#This Row],[Column14]]))</f>
        <v/>
      </c>
      <c r="AA395" s="237" t="str">
        <f>IF(Table1[[#This Row],[h_hargasebelumdiskon]]="","",IF(Table1[[#This Row],[Column15]]="",0,(Table1[[#This Row],[h_hargasebelumdiskon]]-Table1[[#This Row],[h_disc 1]])*Table1[[#This Row],[Column15]]))</f>
        <v/>
      </c>
      <c r="AB395" s="237" t="str">
        <f>IF(Table1[[#This Row],[Column12]]="","",Table1[[#This Row],[h_disc 1]]+Table1[[#This Row],[h_disc 2]])</f>
        <v/>
      </c>
      <c r="AC395" s="237" t="str">
        <f>IF(Table1[[#This Row],[Column12]]="","",Table1[[#This Row],[h_hargasebelumdiskon]]-Table1[[#This Row],[h_diskon]])</f>
        <v/>
      </c>
      <c r="AD395" s="237" t="str">
        <f ca="1">IF(Table1[[#This Row],[//]]="","",SUMIF(Table1[h_id],Table1[[#This Row],[h_id]],Table1[h_hargasetelahdiskon]))</f>
        <v/>
      </c>
      <c r="AF395" s="237" t="str">
        <f>Table1[[#This Row],[Column12]]&amp;Table1[[#This Row],[Unit]]&amp;Table1[[#This Row],[Column13]]</f>
        <v/>
      </c>
      <c r="AG395"/>
      <c r="AH395"/>
      <c r="AI395"/>
    </row>
    <row r="396" spans="1:35">
      <c r="A396" s="234" t="str">
        <f ca="1">IF(Table1[[#This Row],[No. Invoice :]]="","",ROW())</f>
        <v/>
      </c>
      <c r="B396" s="234" t="str">
        <f ca="1">IF(Table1[[#This Row],[Column3]]="","",B$1+COUNT(INDIRECT("B$2:B"&amp;ROW()-1)))</f>
        <v/>
      </c>
      <c r="C396" s="235" t="str">
        <f>IF(Table1[[#This Row],[Column2]]="","",Table1[[#This Row],[Column2]]+C$1-1)</f>
        <v/>
      </c>
      <c r="E396" s="236"/>
      <c r="F396" s="234"/>
      <c r="G396" s="234" t="str">
        <f ca="1">IF(Table1[[#This Row],[h_No. Invoice :]]="","",CONCATENATE("AM"," ",Table1[[#This Row],[h_No. Invoice :]]))</f>
        <v/>
      </c>
      <c r="H396" s="234" t="str">
        <f>IF(Table1[[#This Row],[Column5]]="","",INDEX(Table2[Column1],MATCH(Table1[[#This Row],[Column5]],Table2[a],0)))</f>
        <v/>
      </c>
      <c r="I396" s="234" t="str">
        <f>IF(Table1[[#This Row],[Column3]]=0,"",CONCATENATE(UPPER(Table1[[#This Row],[Column3]])," ",Table1[[#This Row],[Column4]]))</f>
        <v xml:space="preserve"> </v>
      </c>
      <c r="J396" s="234" t="str">
        <f>IF(Table1[[#This Row],[Column5]]="","",INDEX(Table2[e],IF(Table1[[#This Row],[Column5]]="","",MATCH(Table1[[#This Row],[Column5]],Table2[a],0)),))</f>
        <v/>
      </c>
      <c r="K396" s="234"/>
      <c r="L396" s="234"/>
      <c r="O396" s="234" t="str">
        <f>IF(Table1[[#This Row],[h_Item Description]]="","",INDEX([1]!db[NB PAJAK],MATCH(Table1[[#This Row],[h_Item Description]],[1]!db[kode],0)))</f>
        <v/>
      </c>
      <c r="Q396" s="237"/>
      <c r="R396" s="238"/>
      <c r="S396" s="238"/>
      <c r="T396" s="237" t="str">
        <f>Table1[[#This Row],[h_hargasetelahdiskon]]</f>
        <v/>
      </c>
      <c r="V396" s="234"/>
      <c r="W396" s="234" t="str">
        <f ca="1">IF(Table1[[#This Row],[Column12]]="","",IF(Table1[[#This Row],[//]]="",INDIRECT(ADDRESS(ROW()-1,COLUMN())),Table1[[#This Row],[//]]))</f>
        <v/>
      </c>
      <c r="X396" s="234" t="str">
        <f ca="1">IF(Table1[[#This Row],[h_id]]="","",COUNTIF(Table1[h_id],Table1[[#This Row],[h_id]]))</f>
        <v/>
      </c>
      <c r="Y396" s="237" t="str">
        <f>IF(Table1[[#This Row],[Column12]]="","",Table1[[#This Row],[Qty]]*Table1[[#This Row],[Column13]])</f>
        <v/>
      </c>
      <c r="Z396" s="237" t="str">
        <f>IF(Table1[[#This Row],[h_hargasebelumdiskon]]="","",IF(Table1[[#This Row],[Column14]]="",0,Table1[[#This Row],[h_hargasebelumdiskon]]*Table1[[#This Row],[Column14]]))</f>
        <v/>
      </c>
      <c r="AA396" s="237" t="str">
        <f>IF(Table1[[#This Row],[h_hargasebelumdiskon]]="","",IF(Table1[[#This Row],[Column15]]="",0,(Table1[[#This Row],[h_hargasebelumdiskon]]-Table1[[#This Row],[h_disc 1]])*Table1[[#This Row],[Column15]]))</f>
        <v/>
      </c>
      <c r="AB396" s="237" t="str">
        <f>IF(Table1[[#This Row],[Column12]]="","",Table1[[#This Row],[h_disc 1]]+Table1[[#This Row],[h_disc 2]])</f>
        <v/>
      </c>
      <c r="AC396" s="237" t="str">
        <f>IF(Table1[[#This Row],[Column12]]="","",Table1[[#This Row],[h_hargasebelumdiskon]]-Table1[[#This Row],[h_diskon]])</f>
        <v/>
      </c>
      <c r="AD396" s="237" t="str">
        <f ca="1">IF(Table1[[#This Row],[//]]="","",SUMIF(Table1[h_id],Table1[[#This Row],[h_id]],Table1[h_hargasetelahdiskon]))</f>
        <v/>
      </c>
      <c r="AF396" s="237" t="str">
        <f>Table1[[#This Row],[Column12]]&amp;Table1[[#This Row],[Unit]]&amp;Table1[[#This Row],[Column13]]</f>
        <v/>
      </c>
      <c r="AG396"/>
      <c r="AH396"/>
      <c r="AI396"/>
    </row>
    <row r="397" spans="1:35">
      <c r="A397" s="234" t="str">
        <f ca="1">IF(Table1[[#This Row],[No. Invoice :]]="","",ROW())</f>
        <v/>
      </c>
      <c r="B397" s="234" t="str">
        <f ca="1">IF(Table1[[#This Row],[Column3]]="","",B$1+COUNT(INDIRECT("B$2:B"&amp;ROW()-1)))</f>
        <v/>
      </c>
      <c r="C397" s="235" t="str">
        <f>IF(Table1[[#This Row],[Column2]]="","",Table1[[#This Row],[Column2]]+C$1-1)</f>
        <v/>
      </c>
      <c r="E397" s="236"/>
      <c r="F397" s="234"/>
      <c r="G397" s="234" t="str">
        <f ca="1">IF(Table1[[#This Row],[h_No. Invoice :]]="","",CONCATENATE("AM"," ",Table1[[#This Row],[h_No. Invoice :]]))</f>
        <v/>
      </c>
      <c r="H397" s="234" t="str">
        <f>IF(Table1[[#This Row],[Column5]]="","",INDEX(Table2[Column1],MATCH(Table1[[#This Row],[Column5]],Table2[a],0)))</f>
        <v/>
      </c>
      <c r="I397" s="234" t="str">
        <f>IF(Table1[[#This Row],[Column3]]=0,"",CONCATENATE(UPPER(Table1[[#This Row],[Column3]])," ",Table1[[#This Row],[Column4]]))</f>
        <v xml:space="preserve"> </v>
      </c>
      <c r="J397" s="234" t="str">
        <f>IF(Table1[[#This Row],[Column5]]="","",INDEX(Table2[e],IF(Table1[[#This Row],[Column5]]="","",MATCH(Table1[[#This Row],[Column5]],Table2[a],0)),))</f>
        <v/>
      </c>
      <c r="K397" s="234"/>
      <c r="L397" s="234"/>
      <c r="O397" s="234" t="str">
        <f>IF(Table1[[#This Row],[h_Item Description]]="","",INDEX([1]!db[NB PAJAK],MATCH(Table1[[#This Row],[h_Item Description]],[1]!db[kode],0)))</f>
        <v/>
      </c>
      <c r="Q397" s="237"/>
      <c r="R397" s="238"/>
      <c r="S397" s="238"/>
      <c r="T397" s="237" t="str">
        <f>Table1[[#This Row],[h_hargasetelahdiskon]]</f>
        <v/>
      </c>
      <c r="V397" s="234"/>
      <c r="W397" s="234" t="str">
        <f ca="1">IF(Table1[[#This Row],[Column12]]="","",IF(Table1[[#This Row],[//]]="",INDIRECT(ADDRESS(ROW()-1,COLUMN())),Table1[[#This Row],[//]]))</f>
        <v/>
      </c>
      <c r="X397" s="234" t="str">
        <f ca="1">IF(Table1[[#This Row],[h_id]]="","",COUNTIF(Table1[h_id],Table1[[#This Row],[h_id]]))</f>
        <v/>
      </c>
      <c r="Y397" s="237" t="str">
        <f>IF(Table1[[#This Row],[Column12]]="","",Table1[[#This Row],[Qty]]*Table1[[#This Row],[Column13]])</f>
        <v/>
      </c>
      <c r="Z397" s="237" t="str">
        <f>IF(Table1[[#This Row],[h_hargasebelumdiskon]]="","",IF(Table1[[#This Row],[Column14]]="",0,Table1[[#This Row],[h_hargasebelumdiskon]]*Table1[[#This Row],[Column14]]))</f>
        <v/>
      </c>
      <c r="AA397" s="237" t="str">
        <f>IF(Table1[[#This Row],[h_hargasebelumdiskon]]="","",IF(Table1[[#This Row],[Column15]]="",0,(Table1[[#This Row],[h_hargasebelumdiskon]]-Table1[[#This Row],[h_disc 1]])*Table1[[#This Row],[Column15]]))</f>
        <v/>
      </c>
      <c r="AB397" s="237" t="str">
        <f>IF(Table1[[#This Row],[Column12]]="","",Table1[[#This Row],[h_disc 1]]+Table1[[#This Row],[h_disc 2]])</f>
        <v/>
      </c>
      <c r="AC397" s="237" t="str">
        <f>IF(Table1[[#This Row],[Column12]]="","",Table1[[#This Row],[h_hargasebelumdiskon]]-Table1[[#This Row],[h_diskon]])</f>
        <v/>
      </c>
      <c r="AD397" s="237" t="str">
        <f ca="1">IF(Table1[[#This Row],[//]]="","",SUMIF(Table1[h_id],Table1[[#This Row],[h_id]],Table1[h_hargasetelahdiskon]))</f>
        <v/>
      </c>
      <c r="AF397" s="237" t="str">
        <f>Table1[[#This Row],[Column12]]&amp;Table1[[#This Row],[Unit]]&amp;Table1[[#This Row],[Column13]]</f>
        <v/>
      </c>
      <c r="AG397"/>
      <c r="AH397"/>
      <c r="AI397"/>
    </row>
    <row r="398" spans="1:35">
      <c r="A398" s="234" t="str">
        <f ca="1">IF(Table1[[#This Row],[No. Invoice :]]="","",ROW())</f>
        <v/>
      </c>
      <c r="B398" s="234" t="str">
        <f ca="1">IF(Table1[[#This Row],[Column3]]="","",B$1+COUNT(INDIRECT("B$2:B"&amp;ROW()-1)))</f>
        <v/>
      </c>
      <c r="C398" s="235" t="str">
        <f>IF(Table1[[#This Row],[Column2]]="","",Table1[[#This Row],[Column2]]+C$1-1)</f>
        <v/>
      </c>
      <c r="E398" s="236"/>
      <c r="F398" s="234"/>
      <c r="G398" s="234" t="str">
        <f ca="1">IF(Table1[[#This Row],[h_No. Invoice :]]="","",CONCATENATE("AM"," ",Table1[[#This Row],[h_No. Invoice :]]))</f>
        <v/>
      </c>
      <c r="H398" s="234" t="str">
        <f>IF(Table1[[#This Row],[Column5]]="","",INDEX(Table2[Column1],MATCH(Table1[[#This Row],[Column5]],Table2[a],0)))</f>
        <v/>
      </c>
      <c r="I398" s="234" t="str">
        <f>IF(Table1[[#This Row],[Column3]]=0,"",CONCATENATE(UPPER(Table1[[#This Row],[Column3]])," ",Table1[[#This Row],[Column4]]))</f>
        <v xml:space="preserve"> </v>
      </c>
      <c r="J398" s="234" t="str">
        <f>IF(Table1[[#This Row],[Column5]]="","",INDEX(Table2[e],IF(Table1[[#This Row],[Column5]]="","",MATCH(Table1[[#This Row],[Column5]],Table2[a],0)),))</f>
        <v/>
      </c>
      <c r="K398" s="234"/>
      <c r="L398" s="234"/>
      <c r="O398" s="234" t="str">
        <f>IF(Table1[[#This Row],[h_Item Description]]="","",INDEX([1]!db[NB PAJAK],MATCH(Table1[[#This Row],[h_Item Description]],[1]!db[kode],0)))</f>
        <v/>
      </c>
      <c r="Q398" s="237"/>
      <c r="R398" s="238"/>
      <c r="S398" s="238"/>
      <c r="T398" s="237" t="str">
        <f>Table1[[#This Row],[h_hargasetelahdiskon]]</f>
        <v/>
      </c>
      <c r="V398" s="234"/>
      <c r="W398" s="234" t="str">
        <f ca="1">IF(Table1[[#This Row],[Column12]]="","",IF(Table1[[#This Row],[//]]="",INDIRECT(ADDRESS(ROW()-1,COLUMN())),Table1[[#This Row],[//]]))</f>
        <v/>
      </c>
      <c r="X398" s="234" t="str">
        <f ca="1">IF(Table1[[#This Row],[h_id]]="","",COUNTIF(Table1[h_id],Table1[[#This Row],[h_id]]))</f>
        <v/>
      </c>
      <c r="Y398" s="237" t="str">
        <f>IF(Table1[[#This Row],[Column12]]="","",Table1[[#This Row],[Qty]]*Table1[[#This Row],[Column13]])</f>
        <v/>
      </c>
      <c r="Z398" s="237" t="str">
        <f>IF(Table1[[#This Row],[h_hargasebelumdiskon]]="","",IF(Table1[[#This Row],[Column14]]="",0,Table1[[#This Row],[h_hargasebelumdiskon]]*Table1[[#This Row],[Column14]]))</f>
        <v/>
      </c>
      <c r="AA398" s="237" t="str">
        <f>IF(Table1[[#This Row],[h_hargasebelumdiskon]]="","",IF(Table1[[#This Row],[Column15]]="",0,(Table1[[#This Row],[h_hargasebelumdiskon]]-Table1[[#This Row],[h_disc 1]])*Table1[[#This Row],[Column15]]))</f>
        <v/>
      </c>
      <c r="AB398" s="237" t="str">
        <f>IF(Table1[[#This Row],[Column12]]="","",Table1[[#This Row],[h_disc 1]]+Table1[[#This Row],[h_disc 2]])</f>
        <v/>
      </c>
      <c r="AC398" s="237" t="str">
        <f>IF(Table1[[#This Row],[Column12]]="","",Table1[[#This Row],[h_hargasebelumdiskon]]-Table1[[#This Row],[h_diskon]])</f>
        <v/>
      </c>
      <c r="AD398" s="237" t="str">
        <f ca="1">IF(Table1[[#This Row],[//]]="","",SUMIF(Table1[h_id],Table1[[#This Row],[h_id]],Table1[h_hargasetelahdiskon]))</f>
        <v/>
      </c>
      <c r="AF398" s="237" t="str">
        <f>Table1[[#This Row],[Column12]]&amp;Table1[[#This Row],[Unit]]&amp;Table1[[#This Row],[Column13]]</f>
        <v/>
      </c>
      <c r="AG398"/>
      <c r="AH398"/>
      <c r="AI398"/>
    </row>
    <row r="399" spans="1:35">
      <c r="A399" s="234" t="str">
        <f ca="1">IF(Table1[[#This Row],[No. Invoice :]]="","",ROW())</f>
        <v/>
      </c>
      <c r="B399" s="234" t="str">
        <f ca="1">IF(Table1[[#This Row],[Column3]]="","",B$1+COUNT(INDIRECT("B$2:B"&amp;ROW()-1)))</f>
        <v/>
      </c>
      <c r="C399" s="235" t="str">
        <f>IF(Table1[[#This Row],[Column2]]="","",Table1[[#This Row],[Column2]]+C$1-1)</f>
        <v/>
      </c>
      <c r="E399" s="236"/>
      <c r="F399" s="234"/>
      <c r="G399" s="234" t="str">
        <f ca="1">IF(Table1[[#This Row],[h_No. Invoice :]]="","",CONCATENATE("AM"," ",Table1[[#This Row],[h_No. Invoice :]]))</f>
        <v/>
      </c>
      <c r="H399" s="234" t="str">
        <f>IF(Table1[[#This Row],[Column5]]="","",INDEX(Table2[Column1],MATCH(Table1[[#This Row],[Column5]],Table2[a],0)))</f>
        <v/>
      </c>
      <c r="I399" s="234" t="str">
        <f>IF(Table1[[#This Row],[Column3]]=0,"",CONCATENATE(UPPER(Table1[[#This Row],[Column3]])," ",Table1[[#This Row],[Column4]]))</f>
        <v xml:space="preserve"> </v>
      </c>
      <c r="J399" s="234" t="str">
        <f>IF(Table1[[#This Row],[Column5]]="","",INDEX(Table2[e],IF(Table1[[#This Row],[Column5]]="","",MATCH(Table1[[#This Row],[Column5]],Table2[a],0)),))</f>
        <v/>
      </c>
      <c r="K399" s="234"/>
      <c r="L399" s="234"/>
      <c r="O399" s="234" t="str">
        <f>IF(Table1[[#This Row],[h_Item Description]]="","",INDEX([1]!db[NB PAJAK],MATCH(Table1[[#This Row],[h_Item Description]],[1]!db[kode],0)))</f>
        <v/>
      </c>
      <c r="Q399" s="237"/>
      <c r="R399" s="238"/>
      <c r="S399" s="238"/>
      <c r="T399" s="237" t="str">
        <f>Table1[[#This Row],[h_hargasetelahdiskon]]</f>
        <v/>
      </c>
      <c r="V399" s="234"/>
      <c r="W399" s="234" t="str">
        <f ca="1">IF(Table1[[#This Row],[Column12]]="","",IF(Table1[[#This Row],[//]]="",INDIRECT(ADDRESS(ROW()-1,COLUMN())),Table1[[#This Row],[//]]))</f>
        <v/>
      </c>
      <c r="X399" s="234" t="str">
        <f ca="1">IF(Table1[[#This Row],[h_id]]="","",COUNTIF(Table1[h_id],Table1[[#This Row],[h_id]]))</f>
        <v/>
      </c>
      <c r="Y399" s="237" t="str">
        <f>IF(Table1[[#This Row],[Column12]]="","",Table1[[#This Row],[Qty]]*Table1[[#This Row],[Column13]])</f>
        <v/>
      </c>
      <c r="Z399" s="237" t="str">
        <f>IF(Table1[[#This Row],[h_hargasebelumdiskon]]="","",IF(Table1[[#This Row],[Column14]]="",0,Table1[[#This Row],[h_hargasebelumdiskon]]*Table1[[#This Row],[Column14]]))</f>
        <v/>
      </c>
      <c r="AA399" s="237" t="str">
        <f>IF(Table1[[#This Row],[h_hargasebelumdiskon]]="","",IF(Table1[[#This Row],[Column15]]="",0,(Table1[[#This Row],[h_hargasebelumdiskon]]-Table1[[#This Row],[h_disc 1]])*Table1[[#This Row],[Column15]]))</f>
        <v/>
      </c>
      <c r="AB399" s="237" t="str">
        <f>IF(Table1[[#This Row],[Column12]]="","",Table1[[#This Row],[h_disc 1]]+Table1[[#This Row],[h_disc 2]])</f>
        <v/>
      </c>
      <c r="AC399" s="237" t="str">
        <f>IF(Table1[[#This Row],[Column12]]="","",Table1[[#This Row],[h_hargasebelumdiskon]]-Table1[[#This Row],[h_diskon]])</f>
        <v/>
      </c>
      <c r="AD399" s="237" t="str">
        <f ca="1">IF(Table1[[#This Row],[//]]="","",SUMIF(Table1[h_id],Table1[[#This Row],[h_id]],Table1[h_hargasetelahdiskon]))</f>
        <v/>
      </c>
      <c r="AF399" s="237" t="str">
        <f>Table1[[#This Row],[Column12]]&amp;Table1[[#This Row],[Unit]]&amp;Table1[[#This Row],[Column13]]</f>
        <v/>
      </c>
      <c r="AG399"/>
      <c r="AH399"/>
      <c r="AI399"/>
    </row>
    <row r="400" spans="1:35">
      <c r="A400" s="234" t="str">
        <f ca="1">IF(Table1[[#This Row],[No. Invoice :]]="","",ROW())</f>
        <v/>
      </c>
      <c r="B400" s="234" t="str">
        <f ca="1">IF(Table1[[#This Row],[Column3]]="","",B$1+COUNT(INDIRECT("B$2:B"&amp;ROW()-1)))</f>
        <v/>
      </c>
      <c r="C400" s="235" t="str">
        <f>IF(Table1[[#This Row],[Column2]]="","",Table1[[#This Row],[Column2]]+C$1-1)</f>
        <v/>
      </c>
      <c r="E400" s="236"/>
      <c r="F400" s="234"/>
      <c r="G400" s="234" t="str">
        <f ca="1">IF(Table1[[#This Row],[h_No. Invoice :]]="","",CONCATENATE("AM"," ",Table1[[#This Row],[h_No. Invoice :]]))</f>
        <v/>
      </c>
      <c r="H400" s="234" t="str">
        <f>IF(Table1[[#This Row],[Column5]]="","",INDEX(Table2[Column1],MATCH(Table1[[#This Row],[Column5]],Table2[a],0)))</f>
        <v/>
      </c>
      <c r="I400" s="234" t="str">
        <f>IF(Table1[[#This Row],[Column3]]=0,"",CONCATENATE(UPPER(Table1[[#This Row],[Column3]])," ",Table1[[#This Row],[Column4]]))</f>
        <v xml:space="preserve"> </v>
      </c>
      <c r="J400" s="234" t="str">
        <f>IF(Table1[[#This Row],[Column5]]="","",INDEX(Table2[e],IF(Table1[[#This Row],[Column5]]="","",MATCH(Table1[[#This Row],[Column5]],Table2[a],0)),))</f>
        <v/>
      </c>
      <c r="K400" s="234"/>
      <c r="L400" s="234"/>
      <c r="O400" s="234" t="str">
        <f>IF(Table1[[#This Row],[h_Item Description]]="","",INDEX([1]!db[NB PAJAK],MATCH(Table1[[#This Row],[h_Item Description]],[1]!db[kode],0)))</f>
        <v/>
      </c>
      <c r="Q400" s="237"/>
      <c r="R400" s="238"/>
      <c r="S400" s="238"/>
      <c r="T400" s="237" t="str">
        <f>Table1[[#This Row],[h_hargasetelahdiskon]]</f>
        <v/>
      </c>
      <c r="V400" s="234"/>
      <c r="W400" s="234" t="str">
        <f ca="1">IF(Table1[[#This Row],[Column12]]="","",IF(Table1[[#This Row],[//]]="",INDIRECT(ADDRESS(ROW()-1,COLUMN())),Table1[[#This Row],[//]]))</f>
        <v/>
      </c>
      <c r="X400" s="234" t="str">
        <f ca="1">IF(Table1[[#This Row],[h_id]]="","",COUNTIF(Table1[h_id],Table1[[#This Row],[h_id]]))</f>
        <v/>
      </c>
      <c r="Y400" s="237" t="str">
        <f>IF(Table1[[#This Row],[Column12]]="","",Table1[[#This Row],[Qty]]*Table1[[#This Row],[Column13]])</f>
        <v/>
      </c>
      <c r="Z400" s="237" t="str">
        <f>IF(Table1[[#This Row],[h_hargasebelumdiskon]]="","",IF(Table1[[#This Row],[Column14]]="",0,Table1[[#This Row],[h_hargasebelumdiskon]]*Table1[[#This Row],[Column14]]))</f>
        <v/>
      </c>
      <c r="AA400" s="237" t="str">
        <f>IF(Table1[[#This Row],[h_hargasebelumdiskon]]="","",IF(Table1[[#This Row],[Column15]]="",0,(Table1[[#This Row],[h_hargasebelumdiskon]]-Table1[[#This Row],[h_disc 1]])*Table1[[#This Row],[Column15]]))</f>
        <v/>
      </c>
      <c r="AB400" s="237" t="str">
        <f>IF(Table1[[#This Row],[Column12]]="","",Table1[[#This Row],[h_disc 1]]+Table1[[#This Row],[h_disc 2]])</f>
        <v/>
      </c>
      <c r="AC400" s="237" t="str">
        <f>IF(Table1[[#This Row],[Column12]]="","",Table1[[#This Row],[h_hargasebelumdiskon]]-Table1[[#This Row],[h_diskon]])</f>
        <v/>
      </c>
      <c r="AD400" s="237" t="str">
        <f ca="1">IF(Table1[[#This Row],[//]]="","",SUMIF(Table1[h_id],Table1[[#This Row],[h_id]],Table1[h_hargasetelahdiskon]))</f>
        <v/>
      </c>
      <c r="AF400" s="237" t="str">
        <f>Table1[[#This Row],[Column12]]&amp;Table1[[#This Row],[Unit]]&amp;Table1[[#This Row],[Column13]]</f>
        <v/>
      </c>
      <c r="AG400"/>
      <c r="AH400"/>
      <c r="AI400"/>
    </row>
    <row r="401" spans="1:35">
      <c r="A401" s="234" t="str">
        <f ca="1">IF(Table1[[#This Row],[No. Invoice :]]="","",ROW())</f>
        <v/>
      </c>
      <c r="B401" s="234" t="str">
        <f ca="1">IF(Table1[[#This Row],[Column3]]="","",B$1+COUNT(INDIRECT("B$2:B"&amp;ROW()-1)))</f>
        <v/>
      </c>
      <c r="C401" s="235" t="str">
        <f>IF(Table1[[#This Row],[Column2]]="","",Table1[[#This Row],[Column2]]+C$1-1)</f>
        <v/>
      </c>
      <c r="E401" s="236"/>
      <c r="F401" s="234"/>
      <c r="G401" s="234" t="str">
        <f ca="1">IF(Table1[[#This Row],[h_No. Invoice :]]="","",CONCATENATE("AM"," ",Table1[[#This Row],[h_No. Invoice :]]))</f>
        <v/>
      </c>
      <c r="H401" s="234" t="str">
        <f>IF(Table1[[#This Row],[Column5]]="","",INDEX(Table2[Column1],MATCH(Table1[[#This Row],[Column5]],Table2[a],0)))</f>
        <v/>
      </c>
      <c r="I401" s="234" t="str">
        <f>IF(Table1[[#This Row],[Column3]]=0,"",CONCATENATE(UPPER(Table1[[#This Row],[Column3]])," ",Table1[[#This Row],[Column4]]))</f>
        <v xml:space="preserve"> </v>
      </c>
      <c r="J401" s="234" t="str">
        <f>IF(Table1[[#This Row],[Column5]]="","",INDEX(Table2[e],IF(Table1[[#This Row],[Column5]]="","",MATCH(Table1[[#This Row],[Column5]],Table2[a],0)),))</f>
        <v/>
      </c>
      <c r="K401" s="234"/>
      <c r="L401" s="234"/>
      <c r="O401" s="234" t="str">
        <f>IF(Table1[[#This Row],[h_Item Description]]="","",INDEX([1]!db[NB PAJAK],MATCH(Table1[[#This Row],[h_Item Description]],[1]!db[kode],0)))</f>
        <v/>
      </c>
      <c r="Q401" s="237"/>
      <c r="R401" s="238"/>
      <c r="S401" s="238"/>
      <c r="T401" s="237" t="str">
        <f>Table1[[#This Row],[h_hargasetelahdiskon]]</f>
        <v/>
      </c>
      <c r="V401" s="234"/>
      <c r="W401" s="234" t="str">
        <f ca="1">IF(Table1[[#This Row],[Column12]]="","",IF(Table1[[#This Row],[//]]="",INDIRECT(ADDRESS(ROW()-1,COLUMN())),Table1[[#This Row],[//]]))</f>
        <v/>
      </c>
      <c r="X401" s="234" t="str">
        <f ca="1">IF(Table1[[#This Row],[h_id]]="","",COUNTIF(Table1[h_id],Table1[[#This Row],[h_id]]))</f>
        <v/>
      </c>
      <c r="Y401" s="237" t="str">
        <f>IF(Table1[[#This Row],[Column12]]="","",Table1[[#This Row],[Qty]]*Table1[[#This Row],[Column13]])</f>
        <v/>
      </c>
      <c r="Z401" s="237" t="str">
        <f>IF(Table1[[#This Row],[h_hargasebelumdiskon]]="","",IF(Table1[[#This Row],[Column14]]="",0,Table1[[#This Row],[h_hargasebelumdiskon]]*Table1[[#This Row],[Column14]]))</f>
        <v/>
      </c>
      <c r="AA401" s="237" t="str">
        <f>IF(Table1[[#This Row],[h_hargasebelumdiskon]]="","",IF(Table1[[#This Row],[Column15]]="",0,(Table1[[#This Row],[h_hargasebelumdiskon]]-Table1[[#This Row],[h_disc 1]])*Table1[[#This Row],[Column15]]))</f>
        <v/>
      </c>
      <c r="AB401" s="237" t="str">
        <f>IF(Table1[[#This Row],[Column12]]="","",Table1[[#This Row],[h_disc 1]]+Table1[[#This Row],[h_disc 2]])</f>
        <v/>
      </c>
      <c r="AC401" s="237" t="str">
        <f>IF(Table1[[#This Row],[Column12]]="","",Table1[[#This Row],[h_hargasebelumdiskon]]-Table1[[#This Row],[h_diskon]])</f>
        <v/>
      </c>
      <c r="AD401" s="237" t="str">
        <f ca="1">IF(Table1[[#This Row],[//]]="","",SUMIF(Table1[h_id],Table1[[#This Row],[h_id]],Table1[h_hargasetelahdiskon]))</f>
        <v/>
      </c>
      <c r="AF401" s="237" t="str">
        <f>Table1[[#This Row],[Column12]]&amp;Table1[[#This Row],[Unit]]&amp;Table1[[#This Row],[Column13]]</f>
        <v/>
      </c>
      <c r="AG401"/>
      <c r="AH401"/>
      <c r="AI401"/>
    </row>
    <row r="402" spans="1:35">
      <c r="A402" s="234" t="str">
        <f ca="1">IF(Table1[[#This Row],[No. Invoice :]]="","",ROW())</f>
        <v/>
      </c>
      <c r="B402" s="234" t="str">
        <f ca="1">IF(Table1[[#This Row],[Column3]]="","",B$1+COUNT(INDIRECT("B$2:B"&amp;ROW()-1)))</f>
        <v/>
      </c>
      <c r="C402" s="235" t="str">
        <f>IF(Table1[[#This Row],[Column2]]="","",Table1[[#This Row],[Column2]]+C$1-1)</f>
        <v/>
      </c>
      <c r="E402" s="236"/>
      <c r="F402" s="234"/>
      <c r="G402" s="234" t="str">
        <f ca="1">IF(Table1[[#This Row],[h_No. Invoice :]]="","",CONCATENATE("AM"," ",Table1[[#This Row],[h_No. Invoice :]]))</f>
        <v/>
      </c>
      <c r="H402" s="234" t="str">
        <f>IF(Table1[[#This Row],[Column5]]="","",INDEX(Table2[Column1],MATCH(Table1[[#This Row],[Column5]],Table2[a],0)))</f>
        <v/>
      </c>
      <c r="I402" s="234" t="str">
        <f>IF(Table1[[#This Row],[Column3]]=0,"",CONCATENATE(UPPER(Table1[[#This Row],[Column3]])," ",Table1[[#This Row],[Column4]]))</f>
        <v xml:space="preserve"> </v>
      </c>
      <c r="J402" s="234" t="str">
        <f>IF(Table1[[#This Row],[Column5]]="","",INDEX(Table2[e],IF(Table1[[#This Row],[Column5]]="","",MATCH(Table1[[#This Row],[Column5]],Table2[a],0)),))</f>
        <v/>
      </c>
      <c r="K402" s="234"/>
      <c r="L402" s="234"/>
      <c r="O402" s="234" t="str">
        <f>IF(Table1[[#This Row],[h_Item Description]]="","",INDEX([1]!db[NB PAJAK],MATCH(Table1[[#This Row],[h_Item Description]],[1]!db[kode],0)))</f>
        <v/>
      </c>
      <c r="Q402" s="237"/>
      <c r="R402" s="238"/>
      <c r="S402" s="238"/>
      <c r="T402" s="237" t="str">
        <f>Table1[[#This Row],[h_hargasetelahdiskon]]</f>
        <v/>
      </c>
      <c r="V402" s="234"/>
      <c r="W402" s="234" t="str">
        <f ca="1">IF(Table1[[#This Row],[Column12]]="","",IF(Table1[[#This Row],[//]]="",INDIRECT(ADDRESS(ROW()-1,COLUMN())),Table1[[#This Row],[//]]))</f>
        <v/>
      </c>
      <c r="X402" s="234" t="str">
        <f ca="1">IF(Table1[[#This Row],[h_id]]="","",COUNTIF(Table1[h_id],Table1[[#This Row],[h_id]]))</f>
        <v/>
      </c>
      <c r="Y402" s="237" t="str">
        <f>IF(Table1[[#This Row],[Column12]]="","",Table1[[#This Row],[Qty]]*Table1[[#This Row],[Column13]])</f>
        <v/>
      </c>
      <c r="Z402" s="237" t="str">
        <f>IF(Table1[[#This Row],[h_hargasebelumdiskon]]="","",IF(Table1[[#This Row],[Column14]]="",0,Table1[[#This Row],[h_hargasebelumdiskon]]*Table1[[#This Row],[Column14]]))</f>
        <v/>
      </c>
      <c r="AA402" s="237" t="str">
        <f>IF(Table1[[#This Row],[h_hargasebelumdiskon]]="","",IF(Table1[[#This Row],[Column15]]="",0,(Table1[[#This Row],[h_hargasebelumdiskon]]-Table1[[#This Row],[h_disc 1]])*Table1[[#This Row],[Column15]]))</f>
        <v/>
      </c>
      <c r="AB402" s="237" t="str">
        <f>IF(Table1[[#This Row],[Column12]]="","",Table1[[#This Row],[h_disc 1]]+Table1[[#This Row],[h_disc 2]])</f>
        <v/>
      </c>
      <c r="AC402" s="237" t="str">
        <f>IF(Table1[[#This Row],[Column12]]="","",Table1[[#This Row],[h_hargasebelumdiskon]]-Table1[[#This Row],[h_diskon]])</f>
        <v/>
      </c>
      <c r="AD402" s="237" t="str">
        <f ca="1">IF(Table1[[#This Row],[//]]="","",SUMIF(Table1[h_id],Table1[[#This Row],[h_id]],Table1[h_hargasetelahdiskon]))</f>
        <v/>
      </c>
      <c r="AF402" s="237" t="str">
        <f>Table1[[#This Row],[Column12]]&amp;Table1[[#This Row],[Unit]]&amp;Table1[[#This Row],[Column13]]</f>
        <v/>
      </c>
      <c r="AG402"/>
      <c r="AH402"/>
      <c r="AI402"/>
    </row>
    <row r="403" spans="1:35">
      <c r="A403" s="234" t="str">
        <f ca="1">IF(Table1[[#This Row],[No. Invoice :]]="","",ROW())</f>
        <v/>
      </c>
      <c r="B403" s="234" t="str">
        <f ca="1">IF(Table1[[#This Row],[Column3]]="","",B$1+COUNT(INDIRECT("B$2:B"&amp;ROW()-1)))</f>
        <v/>
      </c>
      <c r="C403" s="235" t="str">
        <f>IF(Table1[[#This Row],[Column2]]="","",Table1[[#This Row],[Column2]]+C$1-1)</f>
        <v/>
      </c>
      <c r="E403" s="236"/>
      <c r="F403" s="234"/>
      <c r="G403" s="234" t="str">
        <f ca="1">IF(Table1[[#This Row],[h_No. Invoice :]]="","",CONCATENATE("AM"," ",Table1[[#This Row],[h_No. Invoice :]]))</f>
        <v/>
      </c>
      <c r="H403" s="234" t="str">
        <f>IF(Table1[[#This Row],[Column5]]="","",INDEX(Table2[Column1],MATCH(Table1[[#This Row],[Column5]],Table2[a],0)))</f>
        <v/>
      </c>
      <c r="I403" s="234" t="str">
        <f>IF(Table1[[#This Row],[Column3]]=0,"",CONCATENATE(UPPER(Table1[[#This Row],[Column3]])," ",Table1[[#This Row],[Column4]]))</f>
        <v xml:space="preserve"> </v>
      </c>
      <c r="J403" s="234" t="str">
        <f>IF(Table1[[#This Row],[Column5]]="","",INDEX(Table2[e],IF(Table1[[#This Row],[Column5]]="","",MATCH(Table1[[#This Row],[Column5]],Table2[a],0)),))</f>
        <v/>
      </c>
      <c r="K403" s="234"/>
      <c r="L403" s="234"/>
      <c r="O403" s="234" t="str">
        <f>IF(Table1[[#This Row],[h_Item Description]]="","",INDEX([1]!db[NB PAJAK],MATCH(Table1[[#This Row],[h_Item Description]],[1]!db[kode],0)))</f>
        <v/>
      </c>
      <c r="Q403" s="237"/>
      <c r="R403" s="238"/>
      <c r="S403" s="238"/>
      <c r="T403" s="237" t="str">
        <f>Table1[[#This Row],[h_hargasetelahdiskon]]</f>
        <v/>
      </c>
      <c r="V403" s="234"/>
      <c r="W403" s="234" t="str">
        <f ca="1">IF(Table1[[#This Row],[Column12]]="","",IF(Table1[[#This Row],[//]]="",INDIRECT(ADDRESS(ROW()-1,COLUMN())),Table1[[#This Row],[//]]))</f>
        <v/>
      </c>
      <c r="X403" s="234" t="str">
        <f ca="1">IF(Table1[[#This Row],[h_id]]="","",COUNTIF(Table1[h_id],Table1[[#This Row],[h_id]]))</f>
        <v/>
      </c>
      <c r="Y403" s="237" t="str">
        <f>IF(Table1[[#This Row],[Column12]]="","",Table1[[#This Row],[Qty]]*Table1[[#This Row],[Column13]])</f>
        <v/>
      </c>
      <c r="Z403" s="237" t="str">
        <f>IF(Table1[[#This Row],[h_hargasebelumdiskon]]="","",IF(Table1[[#This Row],[Column14]]="",0,Table1[[#This Row],[h_hargasebelumdiskon]]*Table1[[#This Row],[Column14]]))</f>
        <v/>
      </c>
      <c r="AA403" s="237" t="str">
        <f>IF(Table1[[#This Row],[h_hargasebelumdiskon]]="","",IF(Table1[[#This Row],[Column15]]="",0,(Table1[[#This Row],[h_hargasebelumdiskon]]-Table1[[#This Row],[h_disc 1]])*Table1[[#This Row],[Column15]]))</f>
        <v/>
      </c>
      <c r="AB403" s="237" t="str">
        <f>IF(Table1[[#This Row],[Column12]]="","",Table1[[#This Row],[h_disc 1]]+Table1[[#This Row],[h_disc 2]])</f>
        <v/>
      </c>
      <c r="AC403" s="237" t="str">
        <f>IF(Table1[[#This Row],[Column12]]="","",Table1[[#This Row],[h_hargasebelumdiskon]]-Table1[[#This Row],[h_diskon]])</f>
        <v/>
      </c>
      <c r="AD403" s="237" t="str">
        <f ca="1">IF(Table1[[#This Row],[//]]="","",SUMIF(Table1[h_id],Table1[[#This Row],[h_id]],Table1[h_hargasetelahdiskon]))</f>
        <v/>
      </c>
      <c r="AF403" s="237" t="str">
        <f>Table1[[#This Row],[Column12]]&amp;Table1[[#This Row],[Unit]]&amp;Table1[[#This Row],[Column13]]</f>
        <v/>
      </c>
      <c r="AG403"/>
      <c r="AH403"/>
      <c r="AI403"/>
    </row>
    <row r="404" spans="1:35">
      <c r="A404" s="234" t="str">
        <f ca="1">IF(Table1[[#This Row],[No. Invoice :]]="","",ROW())</f>
        <v/>
      </c>
      <c r="B404" s="234" t="str">
        <f ca="1">IF(Table1[[#This Row],[Column3]]="","",B$1+COUNT(INDIRECT("B$2:B"&amp;ROW()-1)))</f>
        <v/>
      </c>
      <c r="C404" s="235" t="str">
        <f>IF(Table1[[#This Row],[Column2]]="","",Table1[[#This Row],[Column2]]+C$1-1)</f>
        <v/>
      </c>
      <c r="E404" s="236"/>
      <c r="F404" s="234"/>
      <c r="G404" s="234" t="str">
        <f ca="1">IF(Table1[[#This Row],[h_No. Invoice :]]="","",CONCATENATE("AM"," ",Table1[[#This Row],[h_No. Invoice :]]))</f>
        <v/>
      </c>
      <c r="H404" s="234" t="str">
        <f>IF(Table1[[#This Row],[Column5]]="","",INDEX(Table2[Column1],MATCH(Table1[[#This Row],[Column5]],Table2[a],0)))</f>
        <v/>
      </c>
      <c r="I404" s="234" t="str">
        <f>IF(Table1[[#This Row],[Column3]]=0,"",CONCATENATE(UPPER(Table1[[#This Row],[Column3]])," ",Table1[[#This Row],[Column4]]))</f>
        <v xml:space="preserve"> </v>
      </c>
      <c r="J404" s="234" t="str">
        <f>IF(Table1[[#This Row],[Column5]]="","",INDEX(Table2[e],IF(Table1[[#This Row],[Column5]]="","",MATCH(Table1[[#This Row],[Column5]],Table2[a],0)),))</f>
        <v/>
      </c>
      <c r="K404" s="234"/>
      <c r="L404" s="234"/>
      <c r="O404" s="234" t="str">
        <f>IF(Table1[[#This Row],[h_Item Description]]="","",INDEX([1]!db[NB PAJAK],MATCH(Table1[[#This Row],[h_Item Description]],[1]!db[kode],0)))</f>
        <v/>
      </c>
      <c r="Q404" s="237"/>
      <c r="R404" s="238"/>
      <c r="S404" s="238"/>
      <c r="T404" s="237" t="str">
        <f>Table1[[#This Row],[h_hargasetelahdiskon]]</f>
        <v/>
      </c>
      <c r="V404" s="234"/>
      <c r="W404" s="234" t="str">
        <f ca="1">IF(Table1[[#This Row],[Column12]]="","",IF(Table1[[#This Row],[//]]="",INDIRECT(ADDRESS(ROW()-1,COLUMN())),Table1[[#This Row],[//]]))</f>
        <v/>
      </c>
      <c r="X404" s="234" t="str">
        <f ca="1">IF(Table1[[#This Row],[h_id]]="","",COUNTIF(Table1[h_id],Table1[[#This Row],[h_id]]))</f>
        <v/>
      </c>
      <c r="Y404" s="237" t="str">
        <f>IF(Table1[[#This Row],[Column12]]="","",Table1[[#This Row],[Qty]]*Table1[[#This Row],[Column13]])</f>
        <v/>
      </c>
      <c r="Z404" s="237" t="str">
        <f>IF(Table1[[#This Row],[h_hargasebelumdiskon]]="","",IF(Table1[[#This Row],[Column14]]="",0,Table1[[#This Row],[h_hargasebelumdiskon]]*Table1[[#This Row],[Column14]]))</f>
        <v/>
      </c>
      <c r="AA404" s="237" t="str">
        <f>IF(Table1[[#This Row],[h_hargasebelumdiskon]]="","",IF(Table1[[#This Row],[Column15]]="",0,(Table1[[#This Row],[h_hargasebelumdiskon]]-Table1[[#This Row],[h_disc 1]])*Table1[[#This Row],[Column15]]))</f>
        <v/>
      </c>
      <c r="AB404" s="237" t="str">
        <f>IF(Table1[[#This Row],[Column12]]="","",Table1[[#This Row],[h_disc 1]]+Table1[[#This Row],[h_disc 2]])</f>
        <v/>
      </c>
      <c r="AC404" s="237" t="str">
        <f>IF(Table1[[#This Row],[Column12]]="","",Table1[[#This Row],[h_hargasebelumdiskon]]-Table1[[#This Row],[h_diskon]])</f>
        <v/>
      </c>
      <c r="AD404" s="237" t="str">
        <f ca="1">IF(Table1[[#This Row],[//]]="","",SUMIF(Table1[h_id],Table1[[#This Row],[h_id]],Table1[h_hargasetelahdiskon]))</f>
        <v/>
      </c>
      <c r="AF404" s="237" t="str">
        <f>Table1[[#This Row],[Column12]]&amp;Table1[[#This Row],[Unit]]&amp;Table1[[#This Row],[Column13]]</f>
        <v/>
      </c>
      <c r="AG404"/>
      <c r="AH404"/>
      <c r="AI404"/>
    </row>
    <row r="405" spans="1:35">
      <c r="A405" s="234" t="str">
        <f ca="1">IF(Table1[[#This Row],[No. Invoice :]]="","",ROW())</f>
        <v/>
      </c>
      <c r="B405" s="234" t="str">
        <f ca="1">IF(Table1[[#This Row],[Column3]]="","",B$1+COUNT(INDIRECT("B$2:B"&amp;ROW()-1)))</f>
        <v/>
      </c>
      <c r="C405" s="235" t="str">
        <f>IF(Table1[[#This Row],[Column2]]="","",Table1[[#This Row],[Column2]]+C$1-1)</f>
        <v/>
      </c>
      <c r="E405" s="236"/>
      <c r="F405" s="234"/>
      <c r="G405" s="234" t="str">
        <f ca="1">IF(Table1[[#This Row],[h_No. Invoice :]]="","",CONCATENATE("AM"," ",Table1[[#This Row],[h_No. Invoice :]]))</f>
        <v/>
      </c>
      <c r="H405" s="234" t="str">
        <f>IF(Table1[[#This Row],[Column5]]="","",INDEX(Table2[Column1],MATCH(Table1[[#This Row],[Column5]],Table2[a],0)))</f>
        <v/>
      </c>
      <c r="I405" s="234" t="str">
        <f>IF(Table1[[#This Row],[Column3]]=0,"",CONCATENATE(UPPER(Table1[[#This Row],[Column3]])," ",Table1[[#This Row],[Column4]]))</f>
        <v xml:space="preserve"> </v>
      </c>
      <c r="J405" s="234" t="str">
        <f>IF(Table1[[#This Row],[Column5]]="","",INDEX(Table2[e],IF(Table1[[#This Row],[Column5]]="","",MATCH(Table1[[#This Row],[Column5]],Table2[a],0)),))</f>
        <v/>
      </c>
      <c r="K405" s="234"/>
      <c r="L405" s="234"/>
      <c r="O405" s="234" t="str">
        <f>IF(Table1[[#This Row],[h_Item Description]]="","",INDEX([1]!db[NB PAJAK],MATCH(Table1[[#This Row],[h_Item Description]],[1]!db[kode],0)))</f>
        <v/>
      </c>
      <c r="P405"/>
      <c r="Q405" s="237"/>
      <c r="R405" s="238"/>
      <c r="S405" s="238"/>
      <c r="T405" s="237" t="str">
        <f>Table1[[#This Row],[h_hargasetelahdiskon]]</f>
        <v/>
      </c>
      <c r="V405" s="234"/>
      <c r="W405" s="234" t="str">
        <f ca="1">IF(Table1[[#This Row],[Column12]]="","",IF(Table1[[#This Row],[//]]="",INDIRECT(ADDRESS(ROW()-1,COLUMN())),Table1[[#This Row],[//]]))</f>
        <v/>
      </c>
      <c r="X405" s="234" t="str">
        <f ca="1">IF(Table1[[#This Row],[h_id]]="","",COUNTIF(Table1[h_id],Table1[[#This Row],[h_id]]))</f>
        <v/>
      </c>
      <c r="Y405" s="237" t="str">
        <f>IF(Table1[[#This Row],[Column12]]="","",Table1[[#This Row],[Qty]]*Table1[[#This Row],[Column13]])</f>
        <v/>
      </c>
      <c r="Z405" s="237" t="str">
        <f>IF(Table1[[#This Row],[h_hargasebelumdiskon]]="","",IF(Table1[[#This Row],[Column14]]="",0,Table1[[#This Row],[h_hargasebelumdiskon]]*Table1[[#This Row],[Column14]]))</f>
        <v/>
      </c>
      <c r="AA405" s="237" t="str">
        <f>IF(Table1[[#This Row],[h_hargasebelumdiskon]]="","",IF(Table1[[#This Row],[Column15]]="",0,(Table1[[#This Row],[h_hargasebelumdiskon]]-Table1[[#This Row],[h_disc 1]])*Table1[[#This Row],[Column15]]))</f>
        <v/>
      </c>
      <c r="AB405" s="237" t="str">
        <f>IF(Table1[[#This Row],[Column12]]="","",Table1[[#This Row],[h_disc 1]]+Table1[[#This Row],[h_disc 2]])</f>
        <v/>
      </c>
      <c r="AC405" s="237" t="str">
        <f>IF(Table1[[#This Row],[Column12]]="","",Table1[[#This Row],[h_hargasebelumdiskon]]-Table1[[#This Row],[h_diskon]])</f>
        <v/>
      </c>
      <c r="AD405" s="237" t="str">
        <f ca="1">IF(Table1[[#This Row],[//]]="","",SUMIF(Table1[h_id],Table1[[#This Row],[h_id]],Table1[h_hargasetelahdiskon]))</f>
        <v/>
      </c>
      <c r="AF405" s="237" t="str">
        <f>Table1[[#This Row],[Column12]]&amp;Table1[[#This Row],[Unit]]&amp;Table1[[#This Row],[Column13]]</f>
        <v/>
      </c>
      <c r="AG405"/>
      <c r="AH405"/>
      <c r="AI405"/>
    </row>
    <row r="406" spans="1:35">
      <c r="A406" s="234" t="str">
        <f ca="1">IF(Table1[[#This Row],[No. Invoice :]]="","",ROW())</f>
        <v/>
      </c>
      <c r="B406" s="234" t="str">
        <f ca="1">IF(Table1[[#This Row],[Column3]]="","",B$1+COUNT(INDIRECT("B$2:B"&amp;ROW()-1)))</f>
        <v/>
      </c>
      <c r="C406" s="235" t="str">
        <f>IF(Table1[[#This Row],[Column2]]="","",Table1[[#This Row],[Column2]]+C$1-1)</f>
        <v/>
      </c>
      <c r="E406" s="236"/>
      <c r="F406" s="234"/>
      <c r="G406" s="234" t="str">
        <f ca="1">IF(Table1[[#This Row],[h_No. Invoice :]]="","",CONCATENATE("AM"," ",Table1[[#This Row],[h_No. Invoice :]]))</f>
        <v/>
      </c>
      <c r="H406" s="234" t="str">
        <f>IF(Table1[[#This Row],[Column5]]="","",INDEX(Table2[Column1],MATCH(Table1[[#This Row],[Column5]],Table2[a],0)))</f>
        <v/>
      </c>
      <c r="I406" s="234" t="str">
        <f>IF(Table1[[#This Row],[Column3]]=0,"",CONCATENATE(UPPER(Table1[[#This Row],[Column3]])," ",Table1[[#This Row],[Column4]]))</f>
        <v xml:space="preserve"> </v>
      </c>
      <c r="J406" s="234" t="str">
        <f>IF(Table1[[#This Row],[Column5]]="","",INDEX(Table2[e],IF(Table1[[#This Row],[Column5]]="","",MATCH(Table1[[#This Row],[Column5]],Table2[a],0)),))</f>
        <v/>
      </c>
      <c r="K406" s="234"/>
      <c r="L406" s="234"/>
      <c r="O406" s="234" t="str">
        <f>IF(Table1[[#This Row],[h_Item Description]]="","",INDEX([1]!db[NB PAJAK],MATCH(Table1[[#This Row],[h_Item Description]],[1]!db[kode],0)))</f>
        <v/>
      </c>
      <c r="Q406" s="237"/>
      <c r="R406" s="238"/>
      <c r="S406" s="238"/>
      <c r="T406" s="237" t="str">
        <f>Table1[[#This Row],[h_hargasetelahdiskon]]</f>
        <v/>
      </c>
      <c r="V406" s="234"/>
      <c r="W406" s="234" t="str">
        <f ca="1">IF(Table1[[#This Row],[Column12]]="","",IF(Table1[[#This Row],[//]]="",INDIRECT(ADDRESS(ROW()-1,COLUMN())),Table1[[#This Row],[//]]))</f>
        <v/>
      </c>
      <c r="X406" s="234" t="str">
        <f ca="1">IF(Table1[[#This Row],[h_id]]="","",COUNTIF(Table1[h_id],Table1[[#This Row],[h_id]]))</f>
        <v/>
      </c>
      <c r="Y406" s="237" t="str">
        <f>IF(Table1[[#This Row],[Column12]]="","",Table1[[#This Row],[Qty]]*Table1[[#This Row],[Column13]])</f>
        <v/>
      </c>
      <c r="Z406" s="237" t="str">
        <f>IF(Table1[[#This Row],[h_hargasebelumdiskon]]="","",IF(Table1[[#This Row],[Column14]]="",0,Table1[[#This Row],[h_hargasebelumdiskon]]*Table1[[#This Row],[Column14]]))</f>
        <v/>
      </c>
      <c r="AA406" s="237" t="str">
        <f>IF(Table1[[#This Row],[h_hargasebelumdiskon]]="","",IF(Table1[[#This Row],[Column15]]="",0,(Table1[[#This Row],[h_hargasebelumdiskon]]-Table1[[#This Row],[h_disc 1]])*Table1[[#This Row],[Column15]]))</f>
        <v/>
      </c>
      <c r="AB406" s="237" t="str">
        <f>IF(Table1[[#This Row],[Column12]]="","",Table1[[#This Row],[h_disc 1]]+Table1[[#This Row],[h_disc 2]])</f>
        <v/>
      </c>
      <c r="AC406" s="237" t="str">
        <f>IF(Table1[[#This Row],[Column12]]="","",Table1[[#This Row],[h_hargasebelumdiskon]]-Table1[[#This Row],[h_diskon]])</f>
        <v/>
      </c>
      <c r="AD406" s="237" t="str">
        <f ca="1">IF(Table1[[#This Row],[//]]="","",SUMIF(Table1[h_id],Table1[[#This Row],[h_id]],Table1[h_hargasetelahdiskon]))</f>
        <v/>
      </c>
      <c r="AF406" s="237" t="str">
        <f>Table1[[#This Row],[Column12]]&amp;Table1[[#This Row],[Unit]]&amp;Table1[[#This Row],[Column13]]</f>
        <v/>
      </c>
      <c r="AG406"/>
      <c r="AH406"/>
      <c r="AI406"/>
    </row>
    <row r="407" spans="1:35">
      <c r="A407" s="234" t="str">
        <f ca="1">IF(Table1[[#This Row],[No. Invoice :]]="","",ROW())</f>
        <v/>
      </c>
      <c r="B407" s="234" t="str">
        <f ca="1">IF(Table1[[#This Row],[Column3]]="","",B$1+COUNT(INDIRECT("B$2:B"&amp;ROW()-1)))</f>
        <v/>
      </c>
      <c r="C407" s="235" t="str">
        <f>IF(Table1[[#This Row],[Column2]]="","",Table1[[#This Row],[Column2]]+C$1-1)</f>
        <v/>
      </c>
      <c r="E407" s="236"/>
      <c r="F407" s="234"/>
      <c r="G407" s="234" t="str">
        <f ca="1">IF(Table1[[#This Row],[h_No. Invoice :]]="","",CONCATENATE("AM"," ",Table1[[#This Row],[h_No. Invoice :]]))</f>
        <v/>
      </c>
      <c r="H407" s="234" t="str">
        <f>IF(Table1[[#This Row],[Column5]]="","",INDEX(Table2[Column1],MATCH(Table1[[#This Row],[Column5]],Table2[a],0)))</f>
        <v/>
      </c>
      <c r="I407" s="234" t="str">
        <f>IF(Table1[[#This Row],[Column3]]=0,"",CONCATENATE(UPPER(Table1[[#This Row],[Column3]])," ",Table1[[#This Row],[Column4]]))</f>
        <v xml:space="preserve"> </v>
      </c>
      <c r="J407" s="234" t="str">
        <f>IF(Table1[[#This Row],[Column5]]="","",INDEX(Table2[e],IF(Table1[[#This Row],[Column5]]="","",MATCH(Table1[[#This Row],[Column5]],Table2[a],0)),))</f>
        <v/>
      </c>
      <c r="K407" s="234"/>
      <c r="L407" s="234"/>
      <c r="O407" s="234" t="str">
        <f>IF(Table1[[#This Row],[h_Item Description]]="","",INDEX([1]!db[NB PAJAK],MATCH(Table1[[#This Row],[h_Item Description]],[1]!db[kode],0)))</f>
        <v/>
      </c>
      <c r="P407"/>
      <c r="Q407" s="237"/>
      <c r="R407" s="238"/>
      <c r="S407" s="238"/>
      <c r="T407" s="237" t="str">
        <f>Table1[[#This Row],[h_hargasetelahdiskon]]</f>
        <v/>
      </c>
      <c r="V407" s="234"/>
      <c r="W407" s="234" t="str">
        <f ca="1">IF(Table1[[#This Row],[Column12]]="","",IF(Table1[[#This Row],[//]]="",INDIRECT(ADDRESS(ROW()-1,COLUMN())),Table1[[#This Row],[//]]))</f>
        <v/>
      </c>
      <c r="X407" s="234" t="str">
        <f ca="1">IF(Table1[[#This Row],[h_id]]="","",COUNTIF(Table1[h_id],Table1[[#This Row],[h_id]]))</f>
        <v/>
      </c>
      <c r="Y407" s="237" t="str">
        <f>IF(Table1[[#This Row],[Column12]]="","",Table1[[#This Row],[Qty]]*Table1[[#This Row],[Column13]])</f>
        <v/>
      </c>
      <c r="Z407" s="237" t="str">
        <f>IF(Table1[[#This Row],[h_hargasebelumdiskon]]="","",IF(Table1[[#This Row],[Column14]]="",0,Table1[[#This Row],[h_hargasebelumdiskon]]*Table1[[#This Row],[Column14]]))</f>
        <v/>
      </c>
      <c r="AA407" s="237" t="str">
        <f>IF(Table1[[#This Row],[h_hargasebelumdiskon]]="","",IF(Table1[[#This Row],[Column15]]="",0,(Table1[[#This Row],[h_hargasebelumdiskon]]-Table1[[#This Row],[h_disc 1]])*Table1[[#This Row],[Column15]]))</f>
        <v/>
      </c>
      <c r="AB407" s="237" t="str">
        <f>IF(Table1[[#This Row],[Column12]]="","",Table1[[#This Row],[h_disc 1]]+Table1[[#This Row],[h_disc 2]])</f>
        <v/>
      </c>
      <c r="AC407" s="237" t="str">
        <f>IF(Table1[[#This Row],[Column12]]="","",Table1[[#This Row],[h_hargasebelumdiskon]]-Table1[[#This Row],[h_diskon]])</f>
        <v/>
      </c>
      <c r="AD407" s="237" t="str">
        <f ca="1">IF(Table1[[#This Row],[//]]="","",SUMIF(Table1[h_id],Table1[[#This Row],[h_id]],Table1[h_hargasetelahdiskon]))</f>
        <v/>
      </c>
      <c r="AF407" s="237" t="str">
        <f>Table1[[#This Row],[Column12]]&amp;Table1[[#This Row],[Unit]]&amp;Table1[[#This Row],[Column13]]</f>
        <v/>
      </c>
      <c r="AG407"/>
      <c r="AH407"/>
      <c r="AI407"/>
    </row>
    <row r="408" spans="1:35">
      <c r="A408" s="234" t="str">
        <f ca="1">IF(Table1[[#This Row],[No. Invoice :]]="","",ROW())</f>
        <v/>
      </c>
      <c r="B408" s="234" t="str">
        <f ca="1">IF(Table1[[#This Row],[Column3]]="","",B$1+COUNT(INDIRECT("B$2:B"&amp;ROW()-1)))</f>
        <v/>
      </c>
      <c r="C408" s="235" t="str">
        <f>IF(Table1[[#This Row],[Column2]]="","",Table1[[#This Row],[Column2]]+C$1-1)</f>
        <v/>
      </c>
      <c r="E408" s="236"/>
      <c r="F408" s="234"/>
      <c r="G408" s="234" t="str">
        <f ca="1">IF(Table1[[#This Row],[h_No. Invoice :]]="","",CONCATENATE("AM"," ",Table1[[#This Row],[h_No. Invoice :]]))</f>
        <v/>
      </c>
      <c r="H408" s="234" t="str">
        <f>IF(Table1[[#This Row],[Column5]]="","",INDEX(Table2[Column1],MATCH(Table1[[#This Row],[Column5]],Table2[a],0)))</f>
        <v/>
      </c>
      <c r="I408" s="234" t="str">
        <f>IF(Table1[[#This Row],[Column3]]=0,"",CONCATENATE(UPPER(Table1[[#This Row],[Column3]])," ",Table1[[#This Row],[Column4]]))</f>
        <v xml:space="preserve"> </v>
      </c>
      <c r="J408" s="234" t="str">
        <f>IF(Table1[[#This Row],[Column5]]="","",INDEX(Table2[e],IF(Table1[[#This Row],[Column5]]="","",MATCH(Table1[[#This Row],[Column5]],Table2[a],0)),))</f>
        <v/>
      </c>
      <c r="K408" s="234"/>
      <c r="L408" s="234"/>
      <c r="O408" s="234" t="str">
        <f>IF(Table1[[#This Row],[h_Item Description]]="","",INDEX([1]!db[NB PAJAK],MATCH(Table1[[#This Row],[h_Item Description]],[1]!db[kode],0)))</f>
        <v/>
      </c>
      <c r="Q408" s="237"/>
      <c r="R408" s="238"/>
      <c r="S408" s="238"/>
      <c r="T408" s="237" t="str">
        <f>Table1[[#This Row],[h_hargasetelahdiskon]]</f>
        <v/>
      </c>
      <c r="V408" s="234"/>
      <c r="W408" s="234" t="str">
        <f ca="1">IF(Table1[[#This Row],[Column12]]="","",IF(Table1[[#This Row],[//]]="",INDIRECT(ADDRESS(ROW()-1,COLUMN())),Table1[[#This Row],[//]]))</f>
        <v/>
      </c>
      <c r="X408" s="234" t="str">
        <f ca="1">IF(Table1[[#This Row],[h_id]]="","",COUNTIF(Table1[h_id],Table1[[#This Row],[h_id]]))</f>
        <v/>
      </c>
      <c r="Y408" s="237" t="str">
        <f>IF(Table1[[#This Row],[Column12]]="","",Table1[[#This Row],[Qty]]*Table1[[#This Row],[Column13]])</f>
        <v/>
      </c>
      <c r="Z408" s="237" t="str">
        <f>IF(Table1[[#This Row],[h_hargasebelumdiskon]]="","",IF(Table1[[#This Row],[Column14]]="",0,Table1[[#This Row],[h_hargasebelumdiskon]]*Table1[[#This Row],[Column14]]))</f>
        <v/>
      </c>
      <c r="AA408" s="237" t="str">
        <f>IF(Table1[[#This Row],[h_hargasebelumdiskon]]="","",IF(Table1[[#This Row],[Column15]]="",0,(Table1[[#This Row],[h_hargasebelumdiskon]]-Table1[[#This Row],[h_disc 1]])*Table1[[#This Row],[Column15]]))</f>
        <v/>
      </c>
      <c r="AB408" s="237" t="str">
        <f>IF(Table1[[#This Row],[Column12]]="","",Table1[[#This Row],[h_disc 1]]+Table1[[#This Row],[h_disc 2]])</f>
        <v/>
      </c>
      <c r="AC408" s="237" t="str">
        <f>IF(Table1[[#This Row],[Column12]]="","",Table1[[#This Row],[h_hargasebelumdiskon]]-Table1[[#This Row],[h_diskon]])</f>
        <v/>
      </c>
      <c r="AD408" s="237" t="str">
        <f ca="1">IF(Table1[[#This Row],[//]]="","",SUMIF(Table1[h_id],Table1[[#This Row],[h_id]],Table1[h_hargasetelahdiskon]))</f>
        <v/>
      </c>
      <c r="AF408" s="237" t="str">
        <f>Table1[[#This Row],[Column12]]&amp;Table1[[#This Row],[Unit]]&amp;Table1[[#This Row],[Column13]]</f>
        <v/>
      </c>
      <c r="AG408"/>
      <c r="AH408"/>
      <c r="AI408"/>
    </row>
    <row r="409" spans="1:35">
      <c r="A409" s="234" t="str">
        <f ca="1">IF(Table1[[#This Row],[No. Invoice :]]="","",ROW())</f>
        <v/>
      </c>
      <c r="B409" s="234" t="str">
        <f ca="1">IF(Table1[[#This Row],[Column3]]="","",B$1+COUNT(INDIRECT("B$2:B"&amp;ROW()-1)))</f>
        <v/>
      </c>
      <c r="C409" s="235" t="str">
        <f>IF(Table1[[#This Row],[Column2]]="","",Table1[[#This Row],[Column2]]+C$1-1)</f>
        <v/>
      </c>
      <c r="E409" s="236"/>
      <c r="F409" s="234"/>
      <c r="G409" s="234" t="str">
        <f ca="1">IF(Table1[[#This Row],[h_No. Invoice :]]="","",CONCATENATE("AM"," ",Table1[[#This Row],[h_No. Invoice :]]))</f>
        <v/>
      </c>
      <c r="H409" s="234" t="str">
        <f>IF(Table1[[#This Row],[Column5]]="","",INDEX(Table2[Column1],MATCH(Table1[[#This Row],[Column5]],Table2[a],0)))</f>
        <v/>
      </c>
      <c r="I409" s="234" t="str">
        <f>IF(Table1[[#This Row],[Column3]]=0,"",CONCATENATE(UPPER(Table1[[#This Row],[Column3]])," ",Table1[[#This Row],[Column4]]))</f>
        <v xml:space="preserve"> </v>
      </c>
      <c r="J409" s="234" t="str">
        <f>IF(Table1[[#This Row],[Column5]]="","",INDEX(Table2[e],IF(Table1[[#This Row],[Column5]]="","",MATCH(Table1[[#This Row],[Column5]],Table2[a],0)),))</f>
        <v/>
      </c>
      <c r="K409" s="234"/>
      <c r="L409" s="234"/>
      <c r="O409" s="234" t="str">
        <f>IF(Table1[[#This Row],[h_Item Description]]="","",INDEX([1]!db[NB PAJAK],MATCH(Table1[[#This Row],[h_Item Description]],[1]!db[kode],0)))</f>
        <v/>
      </c>
      <c r="Q409" s="237"/>
      <c r="R409" s="238"/>
      <c r="S409" s="238"/>
      <c r="T409" s="237" t="str">
        <f>Table1[[#This Row],[h_hargasetelahdiskon]]</f>
        <v/>
      </c>
      <c r="V409" s="234"/>
      <c r="W409" s="234" t="str">
        <f ca="1">IF(Table1[[#This Row],[Column12]]="","",IF(Table1[[#This Row],[//]]="",INDIRECT(ADDRESS(ROW()-1,COLUMN())),Table1[[#This Row],[//]]))</f>
        <v/>
      </c>
      <c r="X409" s="234" t="str">
        <f ca="1">IF(Table1[[#This Row],[h_id]]="","",COUNTIF(Table1[h_id],Table1[[#This Row],[h_id]]))</f>
        <v/>
      </c>
      <c r="Y409" s="237" t="str">
        <f>IF(Table1[[#This Row],[Column12]]="","",Table1[[#This Row],[Qty]]*Table1[[#This Row],[Column13]])</f>
        <v/>
      </c>
      <c r="Z409" s="237" t="str">
        <f>IF(Table1[[#This Row],[h_hargasebelumdiskon]]="","",IF(Table1[[#This Row],[Column14]]="",0,Table1[[#This Row],[h_hargasebelumdiskon]]*Table1[[#This Row],[Column14]]))</f>
        <v/>
      </c>
      <c r="AA409" s="237" t="str">
        <f>IF(Table1[[#This Row],[h_hargasebelumdiskon]]="","",IF(Table1[[#This Row],[Column15]]="",0,(Table1[[#This Row],[h_hargasebelumdiskon]]-Table1[[#This Row],[h_disc 1]])*Table1[[#This Row],[Column15]]))</f>
        <v/>
      </c>
      <c r="AB409" s="237" t="str">
        <f>IF(Table1[[#This Row],[Column12]]="","",Table1[[#This Row],[h_disc 1]]+Table1[[#This Row],[h_disc 2]])</f>
        <v/>
      </c>
      <c r="AC409" s="237" t="str">
        <f>IF(Table1[[#This Row],[Column12]]="","",Table1[[#This Row],[h_hargasebelumdiskon]]-Table1[[#This Row],[h_diskon]])</f>
        <v/>
      </c>
      <c r="AD409" s="237" t="str">
        <f ca="1">IF(Table1[[#This Row],[//]]="","",SUMIF(Table1[h_id],Table1[[#This Row],[h_id]],Table1[h_hargasetelahdiskon]))</f>
        <v/>
      </c>
      <c r="AF409" s="237" t="str">
        <f>Table1[[#This Row],[Column12]]&amp;Table1[[#This Row],[Unit]]&amp;Table1[[#This Row],[Column13]]</f>
        <v/>
      </c>
      <c r="AG409"/>
      <c r="AH409"/>
      <c r="AI409"/>
    </row>
    <row r="410" spans="1:35">
      <c r="A410" s="234" t="str">
        <f ca="1">IF(Table1[[#This Row],[No. Invoice :]]="","",ROW())</f>
        <v/>
      </c>
      <c r="B410" s="234" t="str">
        <f ca="1">IF(Table1[[#This Row],[Column3]]="","",B$1+COUNT(INDIRECT("B$2:B"&amp;ROW()-1)))</f>
        <v/>
      </c>
      <c r="C410" s="235" t="str">
        <f>IF(Table1[[#This Row],[Column2]]="","",Table1[[#This Row],[Column2]]+C$1-1)</f>
        <v/>
      </c>
      <c r="E410" s="236"/>
      <c r="F410" s="234"/>
      <c r="G410" s="234" t="str">
        <f ca="1">IF(Table1[[#This Row],[h_No. Invoice :]]="","",CONCATENATE("AM"," ",Table1[[#This Row],[h_No. Invoice :]]))</f>
        <v/>
      </c>
      <c r="H410" s="234" t="str">
        <f>IF(Table1[[#This Row],[Column5]]="","",INDEX(Table2[Column1],MATCH(Table1[[#This Row],[Column5]],Table2[a],0)))</f>
        <v/>
      </c>
      <c r="I410" s="234" t="str">
        <f>IF(Table1[[#This Row],[Column3]]=0,"",CONCATENATE(UPPER(Table1[[#This Row],[Column3]])," ",Table1[[#This Row],[Column4]]))</f>
        <v xml:space="preserve"> </v>
      </c>
      <c r="J410" s="234" t="str">
        <f>IF(Table1[[#This Row],[Column5]]="","",INDEX(Table2[e],IF(Table1[[#This Row],[Column5]]="","",MATCH(Table1[[#This Row],[Column5]],Table2[a],0)),))</f>
        <v/>
      </c>
      <c r="K410" s="234"/>
      <c r="L410" s="234"/>
      <c r="O410" s="234" t="str">
        <f>IF(Table1[[#This Row],[h_Item Description]]="","",INDEX([1]!db[NB PAJAK],MATCH(Table1[[#This Row],[h_Item Description]],[1]!db[kode],0)))</f>
        <v/>
      </c>
      <c r="Q410" s="237"/>
      <c r="R410" s="238"/>
      <c r="S410" s="238"/>
      <c r="T410" s="237" t="str">
        <f>Table1[[#This Row],[h_hargasetelahdiskon]]</f>
        <v/>
      </c>
      <c r="V410" s="234"/>
      <c r="W410" s="234" t="str">
        <f ca="1">IF(Table1[[#This Row],[Column12]]="","",IF(Table1[[#This Row],[//]]="",INDIRECT(ADDRESS(ROW()-1,COLUMN())),Table1[[#This Row],[//]]))</f>
        <v/>
      </c>
      <c r="X410" s="234" t="str">
        <f ca="1">IF(Table1[[#This Row],[h_id]]="","",COUNTIF(Table1[h_id],Table1[[#This Row],[h_id]]))</f>
        <v/>
      </c>
      <c r="Y410" s="237" t="str">
        <f>IF(Table1[[#This Row],[Column12]]="","",Table1[[#This Row],[Qty]]*Table1[[#This Row],[Column13]])</f>
        <v/>
      </c>
      <c r="Z410" s="237" t="str">
        <f>IF(Table1[[#This Row],[h_hargasebelumdiskon]]="","",IF(Table1[[#This Row],[Column14]]="",0,Table1[[#This Row],[h_hargasebelumdiskon]]*Table1[[#This Row],[Column14]]))</f>
        <v/>
      </c>
      <c r="AA410" s="237" t="str">
        <f>IF(Table1[[#This Row],[h_hargasebelumdiskon]]="","",IF(Table1[[#This Row],[Column15]]="",0,(Table1[[#This Row],[h_hargasebelumdiskon]]-Table1[[#This Row],[h_disc 1]])*Table1[[#This Row],[Column15]]))</f>
        <v/>
      </c>
      <c r="AB410" s="237" t="str">
        <f>IF(Table1[[#This Row],[Column12]]="","",Table1[[#This Row],[h_disc 1]]+Table1[[#This Row],[h_disc 2]])</f>
        <v/>
      </c>
      <c r="AC410" s="237" t="str">
        <f>IF(Table1[[#This Row],[Column12]]="","",Table1[[#This Row],[h_hargasebelumdiskon]]-Table1[[#This Row],[h_diskon]])</f>
        <v/>
      </c>
      <c r="AD410" s="237" t="str">
        <f ca="1">IF(Table1[[#This Row],[//]]="","",SUMIF(Table1[h_id],Table1[[#This Row],[h_id]],Table1[h_hargasetelahdiskon]))</f>
        <v/>
      </c>
      <c r="AF410" s="237" t="str">
        <f>Table1[[#This Row],[Column12]]&amp;Table1[[#This Row],[Unit]]&amp;Table1[[#This Row],[Column13]]</f>
        <v/>
      </c>
      <c r="AG410"/>
      <c r="AH410"/>
      <c r="AI410"/>
    </row>
    <row r="411" spans="1:35">
      <c r="A411" s="234" t="str">
        <f ca="1">IF(Table1[[#This Row],[No. Invoice :]]="","",ROW())</f>
        <v/>
      </c>
      <c r="B411" s="234" t="str">
        <f ca="1">IF(Table1[[#This Row],[Column3]]="","",B$1+COUNT(INDIRECT("B$2:B"&amp;ROW()-1)))</f>
        <v/>
      </c>
      <c r="C411" s="235" t="str">
        <f>IF(Table1[[#This Row],[Column2]]="","",Table1[[#This Row],[Column2]]+C$1-1)</f>
        <v/>
      </c>
      <c r="E411" s="236"/>
      <c r="F411" s="234"/>
      <c r="G411" s="234" t="str">
        <f ca="1">IF(Table1[[#This Row],[h_No. Invoice :]]="","",CONCATENATE("AM"," ",Table1[[#This Row],[h_No. Invoice :]]))</f>
        <v/>
      </c>
      <c r="H411" s="234" t="str">
        <f>IF(Table1[[#This Row],[Column5]]="","",INDEX(Table2[Column1],MATCH(Table1[[#This Row],[Column5]],Table2[a],0)))</f>
        <v/>
      </c>
      <c r="I411" s="234" t="str">
        <f>IF(Table1[[#This Row],[Column3]]=0,"",CONCATENATE(UPPER(Table1[[#This Row],[Column3]])," ",Table1[[#This Row],[Column4]]))</f>
        <v xml:space="preserve"> </v>
      </c>
      <c r="J411" s="234" t="str">
        <f>IF(Table1[[#This Row],[Column5]]="","",INDEX(Table2[e],IF(Table1[[#This Row],[Column5]]="","",MATCH(Table1[[#This Row],[Column5]],Table2[a],0)),))</f>
        <v/>
      </c>
      <c r="K411" s="234"/>
      <c r="L411" s="234"/>
      <c r="O411" s="234" t="str">
        <f>IF(Table1[[#This Row],[h_Item Description]]="","",INDEX([1]!db[NB PAJAK],MATCH(Table1[[#This Row],[h_Item Description]],[1]!db[kode],0)))</f>
        <v/>
      </c>
      <c r="Q411" s="237"/>
      <c r="R411" s="238"/>
      <c r="S411" s="238"/>
      <c r="T411" s="237" t="str">
        <f>Table1[[#This Row],[h_hargasetelahdiskon]]</f>
        <v/>
      </c>
      <c r="V411" s="234"/>
      <c r="W411" s="234" t="str">
        <f ca="1">IF(Table1[[#This Row],[Column12]]="","",IF(Table1[[#This Row],[//]]="",INDIRECT(ADDRESS(ROW()-1,COLUMN())),Table1[[#This Row],[//]]))</f>
        <v/>
      </c>
      <c r="X411" s="234" t="str">
        <f ca="1">IF(Table1[[#This Row],[h_id]]="","",COUNTIF(Table1[h_id],Table1[[#This Row],[h_id]]))</f>
        <v/>
      </c>
      <c r="Y411" s="237" t="str">
        <f>IF(Table1[[#This Row],[Column12]]="","",Table1[[#This Row],[Qty]]*Table1[[#This Row],[Column13]])</f>
        <v/>
      </c>
      <c r="Z411" s="237" t="str">
        <f>IF(Table1[[#This Row],[h_hargasebelumdiskon]]="","",IF(Table1[[#This Row],[Column14]]="",0,Table1[[#This Row],[h_hargasebelumdiskon]]*Table1[[#This Row],[Column14]]))</f>
        <v/>
      </c>
      <c r="AA411" s="237" t="str">
        <f>IF(Table1[[#This Row],[h_hargasebelumdiskon]]="","",IF(Table1[[#This Row],[Column15]]="",0,(Table1[[#This Row],[h_hargasebelumdiskon]]-Table1[[#This Row],[h_disc 1]])*Table1[[#This Row],[Column15]]))</f>
        <v/>
      </c>
      <c r="AB411" s="237" t="str">
        <f>IF(Table1[[#This Row],[Column12]]="","",Table1[[#This Row],[h_disc 1]]+Table1[[#This Row],[h_disc 2]])</f>
        <v/>
      </c>
      <c r="AC411" s="237" t="str">
        <f>IF(Table1[[#This Row],[Column12]]="","",Table1[[#This Row],[h_hargasebelumdiskon]]-Table1[[#This Row],[h_diskon]])</f>
        <v/>
      </c>
      <c r="AD411" s="237" t="str">
        <f ca="1">IF(Table1[[#This Row],[//]]="","",SUMIF(Table1[h_id],Table1[[#This Row],[h_id]],Table1[h_hargasetelahdiskon]))</f>
        <v/>
      </c>
      <c r="AF411" s="237" t="str">
        <f>Table1[[#This Row],[Column12]]&amp;Table1[[#This Row],[Unit]]&amp;Table1[[#This Row],[Column13]]</f>
        <v/>
      </c>
      <c r="AG411"/>
      <c r="AH411"/>
      <c r="AI411"/>
    </row>
    <row r="412" spans="1:35">
      <c r="A412" s="234" t="str">
        <f ca="1">IF(Table1[[#This Row],[No. Invoice :]]="","",ROW())</f>
        <v/>
      </c>
      <c r="B412" s="234" t="str">
        <f ca="1">IF(Table1[[#This Row],[Column3]]="","",B$1+COUNT(INDIRECT("B$2:B"&amp;ROW()-1)))</f>
        <v/>
      </c>
      <c r="C412" s="235" t="str">
        <f>IF(Table1[[#This Row],[Column2]]="","",Table1[[#This Row],[Column2]]+C$1-1)</f>
        <v/>
      </c>
      <c r="E412" s="236"/>
      <c r="F412" s="234"/>
      <c r="G412" s="234" t="str">
        <f ca="1">IF(Table1[[#This Row],[h_No. Invoice :]]="","",CONCATENATE("AM"," ",Table1[[#This Row],[h_No. Invoice :]]))</f>
        <v/>
      </c>
      <c r="H412" s="234" t="str">
        <f>IF(Table1[[#This Row],[Column5]]="","",INDEX(Table2[Column1],MATCH(Table1[[#This Row],[Column5]],Table2[a],0)))</f>
        <v/>
      </c>
      <c r="I412" s="234" t="str">
        <f>IF(Table1[[#This Row],[Column3]]=0,"",CONCATENATE(UPPER(Table1[[#This Row],[Column3]])," ",Table1[[#This Row],[Column4]]))</f>
        <v xml:space="preserve"> </v>
      </c>
      <c r="J412" s="234" t="str">
        <f>IF(Table1[[#This Row],[Column5]]="","",INDEX(Table2[e],IF(Table1[[#This Row],[Column5]]="","",MATCH(Table1[[#This Row],[Column5]],Table2[a],0)),))</f>
        <v/>
      </c>
      <c r="K412" s="234"/>
      <c r="L412" s="234"/>
      <c r="O412" s="234" t="str">
        <f>IF(Table1[[#This Row],[h_Item Description]]="","",INDEX([1]!db[NB PAJAK],MATCH(Table1[[#This Row],[h_Item Description]],[1]!db[kode],0)))</f>
        <v/>
      </c>
      <c r="Q412" s="237"/>
      <c r="R412" s="238"/>
      <c r="S412" s="238"/>
      <c r="T412" s="237" t="str">
        <f>Table1[[#This Row],[h_hargasetelahdiskon]]</f>
        <v/>
      </c>
      <c r="V412" s="234"/>
      <c r="W412" s="234" t="str">
        <f ca="1">IF(Table1[[#This Row],[Column12]]="","",IF(Table1[[#This Row],[//]]="",INDIRECT(ADDRESS(ROW()-1,COLUMN())),Table1[[#This Row],[//]]))</f>
        <v/>
      </c>
      <c r="X412" s="234" t="str">
        <f ca="1">IF(Table1[[#This Row],[h_id]]="","",COUNTIF(Table1[h_id],Table1[[#This Row],[h_id]]))</f>
        <v/>
      </c>
      <c r="Y412" s="237" t="str">
        <f>IF(Table1[[#This Row],[Column12]]="","",Table1[[#This Row],[Qty]]*Table1[[#This Row],[Column13]])</f>
        <v/>
      </c>
      <c r="Z412" s="237" t="str">
        <f>IF(Table1[[#This Row],[h_hargasebelumdiskon]]="","",IF(Table1[[#This Row],[Column14]]="",0,Table1[[#This Row],[h_hargasebelumdiskon]]*Table1[[#This Row],[Column14]]))</f>
        <v/>
      </c>
      <c r="AA412" s="237" t="str">
        <f>IF(Table1[[#This Row],[h_hargasebelumdiskon]]="","",IF(Table1[[#This Row],[Column15]]="",0,(Table1[[#This Row],[h_hargasebelumdiskon]]-Table1[[#This Row],[h_disc 1]])*Table1[[#This Row],[Column15]]))</f>
        <v/>
      </c>
      <c r="AB412" s="237" t="str">
        <f>IF(Table1[[#This Row],[Column12]]="","",Table1[[#This Row],[h_disc 1]]+Table1[[#This Row],[h_disc 2]])</f>
        <v/>
      </c>
      <c r="AC412" s="237" t="str">
        <f>IF(Table1[[#This Row],[Column12]]="","",Table1[[#This Row],[h_hargasebelumdiskon]]-Table1[[#This Row],[h_diskon]])</f>
        <v/>
      </c>
      <c r="AD412" s="237" t="str">
        <f ca="1">IF(Table1[[#This Row],[//]]="","",SUMIF(Table1[h_id],Table1[[#This Row],[h_id]],Table1[h_hargasetelahdiskon]))</f>
        <v/>
      </c>
      <c r="AF412" s="237" t="str">
        <f>Table1[[#This Row],[Column12]]&amp;Table1[[#This Row],[Unit]]&amp;Table1[[#This Row],[Column13]]</f>
        <v/>
      </c>
      <c r="AG412"/>
      <c r="AH412"/>
      <c r="AI412"/>
    </row>
    <row r="413" spans="1:35">
      <c r="A413" s="234" t="str">
        <f ca="1">IF(Table1[[#This Row],[No. Invoice :]]="","",ROW())</f>
        <v/>
      </c>
      <c r="B413" s="234" t="str">
        <f ca="1">IF(Table1[[#This Row],[Column3]]="","",B$1+COUNT(INDIRECT("B$2:B"&amp;ROW()-1)))</f>
        <v/>
      </c>
      <c r="C413" s="235" t="str">
        <f>IF(Table1[[#This Row],[Column2]]="","",Table1[[#This Row],[Column2]]+C$1-1)</f>
        <v/>
      </c>
      <c r="E413" s="236"/>
      <c r="F413" s="234"/>
      <c r="G413" s="234" t="str">
        <f ca="1">IF(Table1[[#This Row],[h_No. Invoice :]]="","",CONCATENATE("AM"," ",Table1[[#This Row],[h_No. Invoice :]]))</f>
        <v/>
      </c>
      <c r="H413" s="234" t="str">
        <f>IF(Table1[[#This Row],[Column5]]="","",INDEX(Table2[Column1],MATCH(Table1[[#This Row],[Column5]],Table2[a],0)))</f>
        <v/>
      </c>
      <c r="I413" s="234" t="str">
        <f>IF(Table1[[#This Row],[Column3]]=0,"",CONCATENATE(UPPER(Table1[[#This Row],[Column3]])," ",Table1[[#This Row],[Column4]]))</f>
        <v xml:space="preserve"> </v>
      </c>
      <c r="J413" s="234" t="str">
        <f>IF(Table1[[#This Row],[Column5]]="","",INDEX(Table2[e],IF(Table1[[#This Row],[Column5]]="","",MATCH(Table1[[#This Row],[Column5]],Table2[a],0)),))</f>
        <v/>
      </c>
      <c r="K413" s="234"/>
      <c r="L413" s="234"/>
      <c r="O413" s="234" t="str">
        <f>IF(Table1[[#This Row],[h_Item Description]]="","",INDEX([1]!db[NB PAJAK],MATCH(Table1[[#This Row],[h_Item Description]],[1]!db[kode],0)))</f>
        <v/>
      </c>
      <c r="Q413" s="237"/>
      <c r="R413" s="238"/>
      <c r="S413" s="238"/>
      <c r="T413" s="237" t="str">
        <f>Table1[[#This Row],[h_hargasetelahdiskon]]</f>
        <v/>
      </c>
      <c r="V413" s="234"/>
      <c r="W413" s="234" t="str">
        <f ca="1">IF(Table1[[#This Row],[Column12]]="","",IF(Table1[[#This Row],[//]]="",INDIRECT(ADDRESS(ROW()-1,COLUMN())),Table1[[#This Row],[//]]))</f>
        <v/>
      </c>
      <c r="X413" s="234" t="str">
        <f ca="1">IF(Table1[[#This Row],[h_id]]="","",COUNTIF(Table1[h_id],Table1[[#This Row],[h_id]]))</f>
        <v/>
      </c>
      <c r="Y413" s="237" t="str">
        <f>IF(Table1[[#This Row],[Column12]]="","",Table1[[#This Row],[Qty]]*Table1[[#This Row],[Column13]])</f>
        <v/>
      </c>
      <c r="Z413" s="237" t="str">
        <f>IF(Table1[[#This Row],[h_hargasebelumdiskon]]="","",IF(Table1[[#This Row],[Column14]]="",0,Table1[[#This Row],[h_hargasebelumdiskon]]*Table1[[#This Row],[Column14]]))</f>
        <v/>
      </c>
      <c r="AA413" s="237" t="str">
        <f>IF(Table1[[#This Row],[h_hargasebelumdiskon]]="","",IF(Table1[[#This Row],[Column15]]="",0,(Table1[[#This Row],[h_hargasebelumdiskon]]-Table1[[#This Row],[h_disc 1]])*Table1[[#This Row],[Column15]]))</f>
        <v/>
      </c>
      <c r="AB413" s="237" t="str">
        <f>IF(Table1[[#This Row],[Column12]]="","",Table1[[#This Row],[h_disc 1]]+Table1[[#This Row],[h_disc 2]])</f>
        <v/>
      </c>
      <c r="AC413" s="237" t="str">
        <f>IF(Table1[[#This Row],[Column12]]="","",Table1[[#This Row],[h_hargasebelumdiskon]]-Table1[[#This Row],[h_diskon]])</f>
        <v/>
      </c>
      <c r="AD413" s="237" t="str">
        <f ca="1">IF(Table1[[#This Row],[//]]="","",SUMIF(Table1[h_id],Table1[[#This Row],[h_id]],Table1[h_hargasetelahdiskon]))</f>
        <v/>
      </c>
      <c r="AF413" s="237" t="str">
        <f>Table1[[#This Row],[Column12]]&amp;Table1[[#This Row],[Unit]]&amp;Table1[[#This Row],[Column13]]</f>
        <v/>
      </c>
      <c r="AG413"/>
      <c r="AH413"/>
      <c r="AI413"/>
    </row>
    <row r="414" spans="1:35">
      <c r="A414" s="234" t="str">
        <f ca="1">IF(Table1[[#This Row],[No. Invoice :]]="","",ROW())</f>
        <v/>
      </c>
      <c r="B414" s="234" t="str">
        <f ca="1">IF(Table1[[#This Row],[Column3]]="","",B$1+COUNT(INDIRECT("B$2:B"&amp;ROW()-1)))</f>
        <v/>
      </c>
      <c r="C414" s="235" t="str">
        <f>IF(Table1[[#This Row],[Column2]]="","",Table1[[#This Row],[Column2]]+C$1-1)</f>
        <v/>
      </c>
      <c r="E414" s="236"/>
      <c r="F414" s="234"/>
      <c r="G414" s="234" t="str">
        <f ca="1">IF(Table1[[#This Row],[h_No. Invoice :]]="","",CONCATENATE("AM"," ",Table1[[#This Row],[h_No. Invoice :]]))</f>
        <v/>
      </c>
      <c r="H414" s="234" t="str">
        <f>IF(Table1[[#This Row],[Column5]]="","",INDEX(Table2[Column1],MATCH(Table1[[#This Row],[Column5]],Table2[a],0)))</f>
        <v/>
      </c>
      <c r="I414" s="234" t="str">
        <f>IF(Table1[[#This Row],[Column3]]=0,"",CONCATENATE(UPPER(Table1[[#This Row],[Column3]])," ",Table1[[#This Row],[Column4]]))</f>
        <v xml:space="preserve"> </v>
      </c>
      <c r="J414" s="234" t="str">
        <f>IF(Table1[[#This Row],[Column5]]="","",INDEX(Table2[e],IF(Table1[[#This Row],[Column5]]="","",MATCH(Table1[[#This Row],[Column5]],Table2[a],0)),))</f>
        <v/>
      </c>
      <c r="K414" s="234"/>
      <c r="L414" s="234"/>
      <c r="O414" s="234" t="str">
        <f>IF(Table1[[#This Row],[h_Item Description]]="","",INDEX([1]!db[NB PAJAK],MATCH(Table1[[#This Row],[h_Item Description]],[1]!db[kode],0)))</f>
        <v/>
      </c>
      <c r="Q414" s="237"/>
      <c r="R414" s="238"/>
      <c r="S414" s="238"/>
      <c r="T414" s="237" t="str">
        <f>Table1[[#This Row],[h_hargasetelahdiskon]]</f>
        <v/>
      </c>
      <c r="V414" s="234"/>
      <c r="W414" s="234" t="str">
        <f ca="1">IF(Table1[[#This Row],[Column12]]="","",IF(Table1[[#This Row],[//]]="",INDIRECT(ADDRESS(ROW()-1,COLUMN())),Table1[[#This Row],[//]]))</f>
        <v/>
      </c>
      <c r="X414" s="234" t="str">
        <f ca="1">IF(Table1[[#This Row],[h_id]]="","",COUNTIF(Table1[h_id],Table1[[#This Row],[h_id]]))</f>
        <v/>
      </c>
      <c r="Y414" s="237" t="str">
        <f>IF(Table1[[#This Row],[Column12]]="","",Table1[[#This Row],[Qty]]*Table1[[#This Row],[Column13]])</f>
        <v/>
      </c>
      <c r="Z414" s="237" t="str">
        <f>IF(Table1[[#This Row],[h_hargasebelumdiskon]]="","",IF(Table1[[#This Row],[Column14]]="",0,Table1[[#This Row],[h_hargasebelumdiskon]]*Table1[[#This Row],[Column14]]))</f>
        <v/>
      </c>
      <c r="AA414" s="237" t="str">
        <f>IF(Table1[[#This Row],[h_hargasebelumdiskon]]="","",IF(Table1[[#This Row],[Column15]]="",0,(Table1[[#This Row],[h_hargasebelumdiskon]]-Table1[[#This Row],[h_disc 1]])*Table1[[#This Row],[Column15]]))</f>
        <v/>
      </c>
      <c r="AB414" s="237" t="str">
        <f>IF(Table1[[#This Row],[Column12]]="","",Table1[[#This Row],[h_disc 1]]+Table1[[#This Row],[h_disc 2]])</f>
        <v/>
      </c>
      <c r="AC414" s="237" t="str">
        <f>IF(Table1[[#This Row],[Column12]]="","",Table1[[#This Row],[h_hargasebelumdiskon]]-Table1[[#This Row],[h_diskon]])</f>
        <v/>
      </c>
      <c r="AD414" s="237" t="str">
        <f ca="1">IF(Table1[[#This Row],[//]]="","",SUMIF(Table1[h_id],Table1[[#This Row],[h_id]],Table1[h_hargasetelahdiskon]))</f>
        <v/>
      </c>
      <c r="AF414" s="237" t="str">
        <f>Table1[[#This Row],[Column12]]&amp;Table1[[#This Row],[Unit]]&amp;Table1[[#This Row],[Column13]]</f>
        <v/>
      </c>
      <c r="AG414"/>
      <c r="AH414"/>
      <c r="AI414"/>
    </row>
    <row r="415" spans="1:35">
      <c r="A415" s="234" t="str">
        <f ca="1">IF(Table1[[#This Row],[No. Invoice :]]="","",ROW())</f>
        <v/>
      </c>
      <c r="B415" s="234" t="str">
        <f ca="1">IF(Table1[[#This Row],[Column3]]="","",B$1+COUNT(INDIRECT("B$2:B"&amp;ROW()-1)))</f>
        <v/>
      </c>
      <c r="C415" s="235" t="str">
        <f>IF(Table1[[#This Row],[Column2]]="","",Table1[[#This Row],[Column2]]+C$1-1)</f>
        <v/>
      </c>
      <c r="E415" s="236"/>
      <c r="F415" s="234"/>
      <c r="G415" s="234" t="str">
        <f ca="1">IF(Table1[[#This Row],[h_No. Invoice :]]="","",CONCATENATE("AM"," ",Table1[[#This Row],[h_No. Invoice :]]))</f>
        <v/>
      </c>
      <c r="H415" s="234" t="str">
        <f>IF(Table1[[#This Row],[Column5]]="","",INDEX(Table2[Column1],MATCH(Table1[[#This Row],[Column5]],Table2[a],0)))</f>
        <v/>
      </c>
      <c r="I415" s="234" t="str">
        <f>IF(Table1[[#This Row],[Column3]]=0,"",CONCATENATE(UPPER(Table1[[#This Row],[Column3]])," ",Table1[[#This Row],[Column4]]))</f>
        <v xml:space="preserve"> </v>
      </c>
      <c r="J415" s="234" t="str">
        <f>IF(Table1[[#This Row],[Column5]]="","",INDEX(Table2[e],IF(Table1[[#This Row],[Column5]]="","",MATCH(Table1[[#This Row],[Column5]],Table2[a],0)),))</f>
        <v/>
      </c>
      <c r="K415" s="234"/>
      <c r="L415" s="234"/>
      <c r="O415" s="234" t="str">
        <f>IF(Table1[[#This Row],[h_Item Description]]="","",INDEX([1]!db[NB PAJAK],MATCH(Table1[[#This Row],[h_Item Description]],[1]!db[kode],0)))</f>
        <v/>
      </c>
      <c r="Q415" s="237"/>
      <c r="R415" s="238"/>
      <c r="S415" s="238"/>
      <c r="T415" s="237" t="str">
        <f>Table1[[#This Row],[h_hargasetelahdiskon]]</f>
        <v/>
      </c>
      <c r="V415" s="234"/>
      <c r="W415" s="234" t="str">
        <f ca="1">IF(Table1[[#This Row],[Column12]]="","",IF(Table1[[#This Row],[//]]="",INDIRECT(ADDRESS(ROW()-1,COLUMN())),Table1[[#This Row],[//]]))</f>
        <v/>
      </c>
      <c r="X415" s="234" t="str">
        <f ca="1">IF(Table1[[#This Row],[h_id]]="","",COUNTIF(Table1[h_id],Table1[[#This Row],[h_id]]))</f>
        <v/>
      </c>
      <c r="Y415" s="237" t="str">
        <f>IF(Table1[[#This Row],[Column12]]="","",Table1[[#This Row],[Qty]]*Table1[[#This Row],[Column13]])</f>
        <v/>
      </c>
      <c r="Z415" s="237" t="str">
        <f>IF(Table1[[#This Row],[h_hargasebelumdiskon]]="","",IF(Table1[[#This Row],[Column14]]="",0,Table1[[#This Row],[h_hargasebelumdiskon]]*Table1[[#This Row],[Column14]]))</f>
        <v/>
      </c>
      <c r="AA415" s="237" t="str">
        <f>IF(Table1[[#This Row],[h_hargasebelumdiskon]]="","",IF(Table1[[#This Row],[Column15]]="",0,(Table1[[#This Row],[h_hargasebelumdiskon]]-Table1[[#This Row],[h_disc 1]])*Table1[[#This Row],[Column15]]))</f>
        <v/>
      </c>
      <c r="AB415" s="237" t="str">
        <f>IF(Table1[[#This Row],[Column12]]="","",Table1[[#This Row],[h_disc 1]]+Table1[[#This Row],[h_disc 2]])</f>
        <v/>
      </c>
      <c r="AC415" s="237" t="str">
        <f>IF(Table1[[#This Row],[Column12]]="","",Table1[[#This Row],[h_hargasebelumdiskon]]-Table1[[#This Row],[h_diskon]])</f>
        <v/>
      </c>
      <c r="AD415" s="237" t="str">
        <f ca="1">IF(Table1[[#This Row],[//]]="","",SUMIF(Table1[h_id],Table1[[#This Row],[h_id]],Table1[h_hargasetelahdiskon]))</f>
        <v/>
      </c>
      <c r="AF415" s="237" t="str">
        <f>Table1[[#This Row],[Column12]]&amp;Table1[[#This Row],[Unit]]&amp;Table1[[#This Row],[Column13]]</f>
        <v/>
      </c>
      <c r="AG415"/>
      <c r="AH415"/>
      <c r="AI415"/>
    </row>
    <row r="416" spans="1:35">
      <c r="A416" s="234" t="str">
        <f ca="1">IF(Table1[[#This Row],[No. Invoice :]]="","",ROW())</f>
        <v/>
      </c>
      <c r="B416" s="234" t="str">
        <f ca="1">IF(Table1[[#This Row],[Column3]]="","",B$1+COUNT(INDIRECT("B$2:B"&amp;ROW()-1)))</f>
        <v/>
      </c>
      <c r="C416" s="235" t="str">
        <f>IF(Table1[[#This Row],[Column2]]="","",Table1[[#This Row],[Column2]]+C$1-1)</f>
        <v/>
      </c>
      <c r="E416" s="236"/>
      <c r="F416" s="234"/>
      <c r="G416" s="234" t="str">
        <f ca="1">IF(Table1[[#This Row],[h_No. Invoice :]]="","",CONCATENATE("AM"," ",Table1[[#This Row],[h_No. Invoice :]]))</f>
        <v/>
      </c>
      <c r="H416" s="234" t="str">
        <f>IF(Table1[[#This Row],[Column5]]="","",INDEX(Table2[Column1],MATCH(Table1[[#This Row],[Column5]],Table2[a],0)))</f>
        <v/>
      </c>
      <c r="I416" s="234" t="str">
        <f>IF(Table1[[#This Row],[Column3]]=0,"",CONCATENATE(UPPER(Table1[[#This Row],[Column3]])," ",Table1[[#This Row],[Column4]]))</f>
        <v xml:space="preserve"> </v>
      </c>
      <c r="J416" s="234" t="str">
        <f>IF(Table1[[#This Row],[Column5]]="","",INDEX(Table2[e],IF(Table1[[#This Row],[Column5]]="","",MATCH(Table1[[#This Row],[Column5]],Table2[a],0)),))</f>
        <v/>
      </c>
      <c r="K416" s="234"/>
      <c r="L416" s="234"/>
      <c r="O416" s="234" t="str">
        <f>IF(Table1[[#This Row],[h_Item Description]]="","",INDEX([1]!db[NB PAJAK],MATCH(Table1[[#This Row],[h_Item Description]],[1]!db[kode],0)))</f>
        <v/>
      </c>
      <c r="Q416" s="237"/>
      <c r="R416" s="238"/>
      <c r="S416" s="238"/>
      <c r="T416" s="237" t="str">
        <f>Table1[[#This Row],[h_hargasetelahdiskon]]</f>
        <v/>
      </c>
      <c r="V416" s="234"/>
      <c r="W416" s="234" t="str">
        <f ca="1">IF(Table1[[#This Row],[Column12]]="","",IF(Table1[[#This Row],[//]]="",INDIRECT(ADDRESS(ROW()-1,COLUMN())),Table1[[#This Row],[//]]))</f>
        <v/>
      </c>
      <c r="X416" s="234" t="str">
        <f ca="1">IF(Table1[[#This Row],[h_id]]="","",COUNTIF(Table1[h_id],Table1[[#This Row],[h_id]]))</f>
        <v/>
      </c>
      <c r="Y416" s="237" t="str">
        <f>IF(Table1[[#This Row],[Column12]]="","",Table1[[#This Row],[Qty]]*Table1[[#This Row],[Column13]])</f>
        <v/>
      </c>
      <c r="Z416" s="237" t="str">
        <f>IF(Table1[[#This Row],[h_hargasebelumdiskon]]="","",IF(Table1[[#This Row],[Column14]]="",0,Table1[[#This Row],[h_hargasebelumdiskon]]*Table1[[#This Row],[Column14]]))</f>
        <v/>
      </c>
      <c r="AA416" s="237" t="str">
        <f>IF(Table1[[#This Row],[h_hargasebelumdiskon]]="","",IF(Table1[[#This Row],[Column15]]="",0,(Table1[[#This Row],[h_hargasebelumdiskon]]-Table1[[#This Row],[h_disc 1]])*Table1[[#This Row],[Column15]]))</f>
        <v/>
      </c>
      <c r="AB416" s="237" t="str">
        <f>IF(Table1[[#This Row],[Column12]]="","",Table1[[#This Row],[h_disc 1]]+Table1[[#This Row],[h_disc 2]])</f>
        <v/>
      </c>
      <c r="AC416" s="237" t="str">
        <f>IF(Table1[[#This Row],[Column12]]="","",Table1[[#This Row],[h_hargasebelumdiskon]]-Table1[[#This Row],[h_diskon]])</f>
        <v/>
      </c>
      <c r="AD416" s="237" t="str">
        <f ca="1">IF(Table1[[#This Row],[//]]="","",SUMIF(Table1[h_id],Table1[[#This Row],[h_id]],Table1[h_hargasetelahdiskon]))</f>
        <v/>
      </c>
      <c r="AF416" s="237" t="str">
        <f>Table1[[#This Row],[Column12]]&amp;Table1[[#This Row],[Unit]]&amp;Table1[[#This Row],[Column13]]</f>
        <v/>
      </c>
      <c r="AG416"/>
      <c r="AH416"/>
      <c r="AI416"/>
    </row>
    <row r="417" spans="1:35">
      <c r="A417" s="234" t="str">
        <f ca="1">IF(Table1[[#This Row],[No. Invoice :]]="","",ROW())</f>
        <v/>
      </c>
      <c r="B417" s="234" t="str">
        <f ca="1">IF(Table1[[#This Row],[Column3]]="","",B$1+COUNT(INDIRECT("B$2:B"&amp;ROW()-1)))</f>
        <v/>
      </c>
      <c r="C417" s="235" t="str">
        <f>IF(Table1[[#This Row],[Column2]]="","",Table1[[#This Row],[Column2]]+C$1-1)</f>
        <v/>
      </c>
      <c r="E417" s="236"/>
      <c r="F417" s="234"/>
      <c r="G417" s="234" t="str">
        <f ca="1">IF(Table1[[#This Row],[h_No. Invoice :]]="","",CONCATENATE("AM"," ",Table1[[#This Row],[h_No. Invoice :]]))</f>
        <v/>
      </c>
      <c r="H417" s="234" t="str">
        <f>IF(Table1[[#This Row],[Column5]]="","",INDEX(Table2[Column1],MATCH(Table1[[#This Row],[Column5]],Table2[a],0)))</f>
        <v/>
      </c>
      <c r="I417" s="234" t="str">
        <f>IF(Table1[[#This Row],[Column3]]=0,"",CONCATENATE(UPPER(Table1[[#This Row],[Column3]])," ",Table1[[#This Row],[Column4]]))</f>
        <v xml:space="preserve"> </v>
      </c>
      <c r="J417" s="234" t="str">
        <f>IF(Table1[[#This Row],[Column5]]="","",INDEX(Table2[e],IF(Table1[[#This Row],[Column5]]="","",MATCH(Table1[[#This Row],[Column5]],Table2[a],0)),))</f>
        <v/>
      </c>
      <c r="K417" s="234"/>
      <c r="L417" s="234"/>
      <c r="O417" s="234" t="str">
        <f>IF(Table1[[#This Row],[h_Item Description]]="","",INDEX([1]!db[NB PAJAK],MATCH(Table1[[#This Row],[h_Item Description]],[1]!db[kode],0)))</f>
        <v/>
      </c>
      <c r="Q417" s="237"/>
      <c r="R417" s="238"/>
      <c r="S417" s="238"/>
      <c r="T417" s="237" t="str">
        <f>Table1[[#This Row],[h_hargasetelahdiskon]]</f>
        <v/>
      </c>
      <c r="V417" s="234"/>
      <c r="W417" s="234" t="str">
        <f ca="1">IF(Table1[[#This Row],[Column12]]="","",IF(Table1[[#This Row],[//]]="",INDIRECT(ADDRESS(ROW()-1,COLUMN())),Table1[[#This Row],[//]]))</f>
        <v/>
      </c>
      <c r="X417" s="234" t="str">
        <f ca="1">IF(Table1[[#This Row],[h_id]]="","",COUNTIF(Table1[h_id],Table1[[#This Row],[h_id]]))</f>
        <v/>
      </c>
      <c r="Y417" s="237" t="str">
        <f>IF(Table1[[#This Row],[Column12]]="","",Table1[[#This Row],[Qty]]*Table1[[#This Row],[Column13]])</f>
        <v/>
      </c>
      <c r="Z417" s="237" t="str">
        <f>IF(Table1[[#This Row],[h_hargasebelumdiskon]]="","",IF(Table1[[#This Row],[Column14]]="",0,Table1[[#This Row],[h_hargasebelumdiskon]]*Table1[[#This Row],[Column14]]))</f>
        <v/>
      </c>
      <c r="AA417" s="237" t="str">
        <f>IF(Table1[[#This Row],[h_hargasebelumdiskon]]="","",IF(Table1[[#This Row],[Column15]]="",0,(Table1[[#This Row],[h_hargasebelumdiskon]]-Table1[[#This Row],[h_disc 1]])*Table1[[#This Row],[Column15]]))</f>
        <v/>
      </c>
      <c r="AB417" s="237" t="str">
        <f>IF(Table1[[#This Row],[Column12]]="","",Table1[[#This Row],[h_disc 1]]+Table1[[#This Row],[h_disc 2]])</f>
        <v/>
      </c>
      <c r="AC417" s="237" t="str">
        <f>IF(Table1[[#This Row],[Column12]]="","",Table1[[#This Row],[h_hargasebelumdiskon]]-Table1[[#This Row],[h_diskon]])</f>
        <v/>
      </c>
      <c r="AD417" s="237" t="str">
        <f ca="1">IF(Table1[[#This Row],[//]]="","",SUMIF(Table1[h_id],Table1[[#This Row],[h_id]],Table1[h_hargasetelahdiskon]))</f>
        <v/>
      </c>
      <c r="AF417" s="237" t="str">
        <f>Table1[[#This Row],[Column12]]&amp;Table1[[#This Row],[Unit]]&amp;Table1[[#This Row],[Column13]]</f>
        <v/>
      </c>
      <c r="AG417"/>
      <c r="AH417"/>
      <c r="AI417"/>
    </row>
    <row r="418" spans="1:35">
      <c r="A418" s="234" t="str">
        <f ca="1">IF(Table1[[#This Row],[No. Invoice :]]="","",ROW())</f>
        <v/>
      </c>
      <c r="B418" s="234" t="str">
        <f ca="1">IF(Table1[[#This Row],[Column3]]="","",B$1+COUNT(INDIRECT("B$2:B"&amp;ROW()-1)))</f>
        <v/>
      </c>
      <c r="C418" s="235" t="str">
        <f>IF(Table1[[#This Row],[Column2]]="","",Table1[[#This Row],[Column2]]+C$1-1)</f>
        <v/>
      </c>
      <c r="E418" s="236"/>
      <c r="F418" s="234"/>
      <c r="G418" s="234" t="str">
        <f ca="1">IF(Table1[[#This Row],[h_No. Invoice :]]="","",CONCATENATE("AM"," ",Table1[[#This Row],[h_No. Invoice :]]))</f>
        <v/>
      </c>
      <c r="H418" s="234" t="str">
        <f>IF(Table1[[#This Row],[Column5]]="","",INDEX(Table2[Column1],MATCH(Table1[[#This Row],[Column5]],Table2[a],0)))</f>
        <v/>
      </c>
      <c r="I418" s="234" t="str">
        <f>IF(Table1[[#This Row],[Column3]]=0,"",CONCATENATE(UPPER(Table1[[#This Row],[Column3]])," ",Table1[[#This Row],[Column4]]))</f>
        <v xml:space="preserve"> </v>
      </c>
      <c r="J418" s="234" t="str">
        <f>IF(Table1[[#This Row],[Column5]]="","",INDEX(Table2[e],IF(Table1[[#This Row],[Column5]]="","",MATCH(Table1[[#This Row],[Column5]],Table2[a],0)),))</f>
        <v/>
      </c>
      <c r="K418" s="234"/>
      <c r="L418" s="234"/>
      <c r="O418" s="234" t="str">
        <f>IF(Table1[[#This Row],[h_Item Description]]="","",INDEX([1]!db[NB PAJAK],MATCH(Table1[[#This Row],[h_Item Description]],[1]!db[kode],0)))</f>
        <v/>
      </c>
      <c r="Q418" s="237"/>
      <c r="R418" s="238"/>
      <c r="S418" s="238"/>
      <c r="T418" s="237" t="str">
        <f>Table1[[#This Row],[h_hargasetelahdiskon]]</f>
        <v/>
      </c>
      <c r="V418" s="234"/>
      <c r="W418" s="234" t="str">
        <f ca="1">IF(Table1[[#This Row],[Column12]]="","",IF(Table1[[#This Row],[//]]="",INDIRECT(ADDRESS(ROW()-1,COLUMN())),Table1[[#This Row],[//]]))</f>
        <v/>
      </c>
      <c r="X418" s="234" t="str">
        <f ca="1">IF(Table1[[#This Row],[h_id]]="","",COUNTIF(Table1[h_id],Table1[[#This Row],[h_id]]))</f>
        <v/>
      </c>
      <c r="Y418" s="237" t="str">
        <f>IF(Table1[[#This Row],[Column12]]="","",Table1[[#This Row],[Qty]]*Table1[[#This Row],[Column13]])</f>
        <v/>
      </c>
      <c r="Z418" s="237" t="str">
        <f>IF(Table1[[#This Row],[h_hargasebelumdiskon]]="","",IF(Table1[[#This Row],[Column14]]="",0,Table1[[#This Row],[h_hargasebelumdiskon]]*Table1[[#This Row],[Column14]]))</f>
        <v/>
      </c>
      <c r="AA418" s="237" t="str">
        <f>IF(Table1[[#This Row],[h_hargasebelumdiskon]]="","",IF(Table1[[#This Row],[Column15]]="",0,(Table1[[#This Row],[h_hargasebelumdiskon]]-Table1[[#This Row],[h_disc 1]])*Table1[[#This Row],[Column15]]))</f>
        <v/>
      </c>
      <c r="AB418" s="237" t="str">
        <f>IF(Table1[[#This Row],[Column12]]="","",Table1[[#This Row],[h_disc 1]]+Table1[[#This Row],[h_disc 2]])</f>
        <v/>
      </c>
      <c r="AC418" s="237" t="str">
        <f>IF(Table1[[#This Row],[Column12]]="","",Table1[[#This Row],[h_hargasebelumdiskon]]-Table1[[#This Row],[h_diskon]])</f>
        <v/>
      </c>
      <c r="AD418" s="237" t="str">
        <f ca="1">IF(Table1[[#This Row],[//]]="","",SUMIF(Table1[h_id],Table1[[#This Row],[h_id]],Table1[h_hargasetelahdiskon]))</f>
        <v/>
      </c>
      <c r="AF418" s="237" t="str">
        <f>Table1[[#This Row],[Column12]]&amp;Table1[[#This Row],[Unit]]&amp;Table1[[#This Row],[Column13]]</f>
        <v/>
      </c>
      <c r="AG418"/>
      <c r="AH418"/>
      <c r="AI418"/>
    </row>
    <row r="419" spans="1:35">
      <c r="A419" s="234" t="str">
        <f ca="1">IF(Table1[[#This Row],[No. Invoice :]]="","",ROW())</f>
        <v/>
      </c>
      <c r="B419" s="234" t="str">
        <f ca="1">IF(Table1[[#This Row],[Column3]]="","",B$1+COUNT(INDIRECT("B$2:B"&amp;ROW()-1)))</f>
        <v/>
      </c>
      <c r="C419" s="235" t="str">
        <f>IF(Table1[[#This Row],[Column2]]="","",Table1[[#This Row],[Column2]]+C$1-1)</f>
        <v/>
      </c>
      <c r="E419" s="236"/>
      <c r="F419" s="234"/>
      <c r="G419" s="234" t="str">
        <f ca="1">IF(Table1[[#This Row],[h_No. Invoice :]]="","",CONCATENATE("AM"," ",Table1[[#This Row],[h_No. Invoice :]]))</f>
        <v/>
      </c>
      <c r="H419" s="234" t="str">
        <f>IF(Table1[[#This Row],[Column5]]="","",INDEX(Table2[Column1],MATCH(Table1[[#This Row],[Column5]],Table2[a],0)))</f>
        <v/>
      </c>
      <c r="I419" s="234" t="str">
        <f>IF(Table1[[#This Row],[Column3]]=0,"",CONCATENATE(UPPER(Table1[[#This Row],[Column3]])," ",Table1[[#This Row],[Column4]]))</f>
        <v xml:space="preserve"> </v>
      </c>
      <c r="J419" s="234" t="str">
        <f>IF(Table1[[#This Row],[Column5]]="","",INDEX(Table2[e],IF(Table1[[#This Row],[Column5]]="","",MATCH(Table1[[#This Row],[Column5]],Table2[a],0)),))</f>
        <v/>
      </c>
      <c r="K419" s="234"/>
      <c r="L419" s="234"/>
      <c r="O419" s="234" t="str">
        <f>IF(Table1[[#This Row],[h_Item Description]]="","",INDEX([1]!db[NB PAJAK],MATCH(Table1[[#This Row],[h_Item Description]],[1]!db[kode],0)))</f>
        <v/>
      </c>
      <c r="Q419" s="237"/>
      <c r="R419" s="238"/>
      <c r="S419" s="238"/>
      <c r="T419" s="237" t="str">
        <f>Table1[[#This Row],[h_hargasetelahdiskon]]</f>
        <v/>
      </c>
      <c r="V419" s="234"/>
      <c r="W419" s="234" t="str">
        <f ca="1">IF(Table1[[#This Row],[Column12]]="","",IF(Table1[[#This Row],[//]]="",INDIRECT(ADDRESS(ROW()-1,COLUMN())),Table1[[#This Row],[//]]))</f>
        <v/>
      </c>
      <c r="X419" s="234" t="str">
        <f ca="1">IF(Table1[[#This Row],[h_id]]="","",COUNTIF(Table1[h_id],Table1[[#This Row],[h_id]]))</f>
        <v/>
      </c>
      <c r="Y419" s="237" t="str">
        <f>IF(Table1[[#This Row],[Column12]]="","",Table1[[#This Row],[Qty]]*Table1[[#This Row],[Column13]])</f>
        <v/>
      </c>
      <c r="Z419" s="237" t="str">
        <f>IF(Table1[[#This Row],[h_hargasebelumdiskon]]="","",IF(Table1[[#This Row],[Column14]]="",0,Table1[[#This Row],[h_hargasebelumdiskon]]*Table1[[#This Row],[Column14]]))</f>
        <v/>
      </c>
      <c r="AA419" s="237" t="str">
        <f>IF(Table1[[#This Row],[h_hargasebelumdiskon]]="","",IF(Table1[[#This Row],[Column15]]="",0,(Table1[[#This Row],[h_hargasebelumdiskon]]-Table1[[#This Row],[h_disc 1]])*Table1[[#This Row],[Column15]]))</f>
        <v/>
      </c>
      <c r="AB419" s="237" t="str">
        <f>IF(Table1[[#This Row],[Column12]]="","",Table1[[#This Row],[h_disc 1]]+Table1[[#This Row],[h_disc 2]])</f>
        <v/>
      </c>
      <c r="AC419" s="237" t="str">
        <f>IF(Table1[[#This Row],[Column12]]="","",Table1[[#This Row],[h_hargasebelumdiskon]]-Table1[[#This Row],[h_diskon]])</f>
        <v/>
      </c>
      <c r="AD419" s="237" t="str">
        <f ca="1">IF(Table1[[#This Row],[//]]="","",SUMIF(Table1[h_id],Table1[[#This Row],[h_id]],Table1[h_hargasetelahdiskon]))</f>
        <v/>
      </c>
      <c r="AF419" s="237" t="str">
        <f>Table1[[#This Row],[Column12]]&amp;Table1[[#This Row],[Unit]]&amp;Table1[[#This Row],[Column13]]</f>
        <v/>
      </c>
      <c r="AG419"/>
      <c r="AH419"/>
      <c r="AI419"/>
    </row>
    <row r="420" spans="1:35">
      <c r="A420" s="234" t="str">
        <f ca="1">IF(Table1[[#This Row],[No. Invoice :]]="","",ROW())</f>
        <v/>
      </c>
      <c r="B420" s="234" t="str">
        <f ca="1">IF(Table1[[#This Row],[Column3]]="","",B$1+COUNT(INDIRECT("B$2:B"&amp;ROW()-1)))</f>
        <v/>
      </c>
      <c r="C420" s="235" t="str">
        <f>IF(Table1[[#This Row],[Column2]]="","",Table1[[#This Row],[Column2]]+C$1-1)</f>
        <v/>
      </c>
      <c r="E420" s="236"/>
      <c r="F420" s="234"/>
      <c r="G420" s="234" t="str">
        <f ca="1">IF(Table1[[#This Row],[h_No. Invoice :]]="","",CONCATENATE("AM"," ",Table1[[#This Row],[h_No. Invoice :]]))</f>
        <v/>
      </c>
      <c r="H420" s="234" t="str">
        <f>IF(Table1[[#This Row],[Column5]]="","",INDEX(Table2[Column1],MATCH(Table1[[#This Row],[Column5]],Table2[a],0)))</f>
        <v/>
      </c>
      <c r="I420" s="234" t="str">
        <f>IF(Table1[[#This Row],[Column3]]=0,"",CONCATENATE(UPPER(Table1[[#This Row],[Column3]])," ",Table1[[#This Row],[Column4]]))</f>
        <v xml:space="preserve"> </v>
      </c>
      <c r="J420" s="234" t="str">
        <f>IF(Table1[[#This Row],[Column5]]="","",INDEX(Table2[e],IF(Table1[[#This Row],[Column5]]="","",MATCH(Table1[[#This Row],[Column5]],Table2[a],0)),))</f>
        <v/>
      </c>
      <c r="K420" s="234"/>
      <c r="L420" s="234"/>
      <c r="O420" s="234" t="str">
        <f>IF(Table1[[#This Row],[h_Item Description]]="","",INDEX([1]!db[NB PAJAK],MATCH(Table1[[#This Row],[h_Item Description]],[1]!db[kode],0)))</f>
        <v/>
      </c>
      <c r="Q420" s="237"/>
      <c r="R420" s="238"/>
      <c r="S420" s="238"/>
      <c r="T420" s="237" t="str">
        <f>Table1[[#This Row],[h_hargasetelahdiskon]]</f>
        <v/>
      </c>
      <c r="V420" s="234"/>
      <c r="W420" s="234" t="str">
        <f ca="1">IF(Table1[[#This Row],[Column12]]="","",IF(Table1[[#This Row],[//]]="",INDIRECT(ADDRESS(ROW()-1,COLUMN())),Table1[[#This Row],[//]]))</f>
        <v/>
      </c>
      <c r="X420" s="234" t="str">
        <f ca="1">IF(Table1[[#This Row],[h_id]]="","",COUNTIF(Table1[h_id],Table1[[#This Row],[h_id]]))</f>
        <v/>
      </c>
      <c r="Y420" s="237" t="str">
        <f>IF(Table1[[#This Row],[Column12]]="","",Table1[[#This Row],[Qty]]*Table1[[#This Row],[Column13]])</f>
        <v/>
      </c>
      <c r="Z420" s="237" t="str">
        <f>IF(Table1[[#This Row],[h_hargasebelumdiskon]]="","",IF(Table1[[#This Row],[Column14]]="",0,Table1[[#This Row],[h_hargasebelumdiskon]]*Table1[[#This Row],[Column14]]))</f>
        <v/>
      </c>
      <c r="AA420" s="237" t="str">
        <f>IF(Table1[[#This Row],[h_hargasebelumdiskon]]="","",IF(Table1[[#This Row],[Column15]]="",0,(Table1[[#This Row],[h_hargasebelumdiskon]]-Table1[[#This Row],[h_disc 1]])*Table1[[#This Row],[Column15]]))</f>
        <v/>
      </c>
      <c r="AB420" s="237" t="str">
        <f>IF(Table1[[#This Row],[Column12]]="","",Table1[[#This Row],[h_disc 1]]+Table1[[#This Row],[h_disc 2]])</f>
        <v/>
      </c>
      <c r="AC420" s="237" t="str">
        <f>IF(Table1[[#This Row],[Column12]]="","",Table1[[#This Row],[h_hargasebelumdiskon]]-Table1[[#This Row],[h_diskon]])</f>
        <v/>
      </c>
      <c r="AD420" s="237" t="str">
        <f ca="1">IF(Table1[[#This Row],[//]]="","",SUMIF(Table1[h_id],Table1[[#This Row],[h_id]],Table1[h_hargasetelahdiskon]))</f>
        <v/>
      </c>
      <c r="AF420" s="237" t="str">
        <f>Table1[[#This Row],[Column12]]&amp;Table1[[#This Row],[Unit]]&amp;Table1[[#This Row],[Column13]]</f>
        <v/>
      </c>
      <c r="AG420"/>
      <c r="AH420"/>
      <c r="AI420"/>
    </row>
    <row r="421" spans="1:35">
      <c r="A421" s="234" t="str">
        <f ca="1">IF(Table1[[#This Row],[No. Invoice :]]="","",ROW())</f>
        <v/>
      </c>
      <c r="B421" s="234" t="str">
        <f ca="1">IF(Table1[[#This Row],[Column3]]="","",B$1+COUNT(INDIRECT("B$2:B"&amp;ROW()-1)))</f>
        <v/>
      </c>
      <c r="C421" s="235" t="str">
        <f>IF(Table1[[#This Row],[Column2]]="","",Table1[[#This Row],[Column2]]+C$1-1)</f>
        <v/>
      </c>
      <c r="E421" s="236"/>
      <c r="F421" s="234"/>
      <c r="G421" s="234" t="str">
        <f ca="1">IF(Table1[[#This Row],[h_No. Invoice :]]="","",CONCATENATE("AM"," ",Table1[[#This Row],[h_No. Invoice :]]))</f>
        <v/>
      </c>
      <c r="H421" s="234" t="str">
        <f>IF(Table1[[#This Row],[Column5]]="","",INDEX(Table2[Column1],MATCH(Table1[[#This Row],[Column5]],Table2[a],0)))</f>
        <v/>
      </c>
      <c r="I421" s="234" t="str">
        <f>IF(Table1[[#This Row],[Column3]]=0,"",CONCATENATE(UPPER(Table1[[#This Row],[Column3]])," ",Table1[[#This Row],[Column4]]))</f>
        <v xml:space="preserve"> </v>
      </c>
      <c r="J421" s="234" t="str">
        <f>IF(Table1[[#This Row],[Column5]]="","",INDEX(Table2[e],IF(Table1[[#This Row],[Column5]]="","",MATCH(Table1[[#This Row],[Column5]],Table2[a],0)),))</f>
        <v/>
      </c>
      <c r="K421" s="234"/>
      <c r="L421" s="234"/>
      <c r="O421" s="234" t="str">
        <f>IF(Table1[[#This Row],[h_Item Description]]="","",INDEX([1]!db[NB PAJAK],MATCH(Table1[[#This Row],[h_Item Description]],[1]!db[kode],0)))</f>
        <v/>
      </c>
      <c r="Q421" s="237"/>
      <c r="R421" s="238"/>
      <c r="S421" s="238"/>
      <c r="T421" s="237" t="str">
        <f>Table1[[#This Row],[h_hargasetelahdiskon]]</f>
        <v/>
      </c>
      <c r="V421" s="234"/>
      <c r="W421" s="234" t="str">
        <f ca="1">IF(Table1[[#This Row],[Column12]]="","",IF(Table1[[#This Row],[//]]="",INDIRECT(ADDRESS(ROW()-1,COLUMN())),Table1[[#This Row],[//]]))</f>
        <v/>
      </c>
      <c r="X421" s="234" t="str">
        <f ca="1">IF(Table1[[#This Row],[h_id]]="","",COUNTIF(Table1[h_id],Table1[[#This Row],[h_id]]))</f>
        <v/>
      </c>
      <c r="Y421" s="237" t="str">
        <f>IF(Table1[[#This Row],[Column12]]="","",Table1[[#This Row],[Qty]]*Table1[[#This Row],[Column13]])</f>
        <v/>
      </c>
      <c r="Z421" s="237" t="str">
        <f>IF(Table1[[#This Row],[h_hargasebelumdiskon]]="","",IF(Table1[[#This Row],[Column14]]="",0,Table1[[#This Row],[h_hargasebelumdiskon]]*Table1[[#This Row],[Column14]]))</f>
        <v/>
      </c>
      <c r="AA421" s="237" t="str">
        <f>IF(Table1[[#This Row],[h_hargasebelumdiskon]]="","",IF(Table1[[#This Row],[Column15]]="",0,(Table1[[#This Row],[h_hargasebelumdiskon]]-Table1[[#This Row],[h_disc 1]])*Table1[[#This Row],[Column15]]))</f>
        <v/>
      </c>
      <c r="AB421" s="237" t="str">
        <f>IF(Table1[[#This Row],[Column12]]="","",Table1[[#This Row],[h_disc 1]]+Table1[[#This Row],[h_disc 2]])</f>
        <v/>
      </c>
      <c r="AC421" s="237" t="str">
        <f>IF(Table1[[#This Row],[Column12]]="","",Table1[[#This Row],[h_hargasebelumdiskon]]-Table1[[#This Row],[h_diskon]])</f>
        <v/>
      </c>
      <c r="AD421" s="237" t="str">
        <f ca="1">IF(Table1[[#This Row],[//]]="","",SUMIF(Table1[h_id],Table1[[#This Row],[h_id]],Table1[h_hargasetelahdiskon]))</f>
        <v/>
      </c>
      <c r="AF421" s="237" t="str">
        <f>Table1[[#This Row],[Column12]]&amp;Table1[[#This Row],[Unit]]&amp;Table1[[#This Row],[Column13]]</f>
        <v/>
      </c>
      <c r="AG421"/>
      <c r="AH421"/>
      <c r="AI421"/>
    </row>
    <row r="422" spans="1:35">
      <c r="A422" s="234" t="str">
        <f ca="1">IF(Table1[[#This Row],[No. Invoice :]]="","",ROW())</f>
        <v/>
      </c>
      <c r="B422" s="234" t="str">
        <f ca="1">IF(Table1[[#This Row],[Column3]]="","",B$1+COUNT(INDIRECT("B$2:B"&amp;ROW()-1)))</f>
        <v/>
      </c>
      <c r="C422" s="235" t="str">
        <f>IF(Table1[[#This Row],[Column2]]="","",Table1[[#This Row],[Column2]]+C$1-1)</f>
        <v/>
      </c>
      <c r="E422" s="236"/>
      <c r="F422" s="234"/>
      <c r="G422" s="234" t="str">
        <f ca="1">IF(Table1[[#This Row],[h_No. Invoice :]]="","",CONCATENATE("AM"," ",Table1[[#This Row],[h_No. Invoice :]]))</f>
        <v/>
      </c>
      <c r="H422" s="234" t="str">
        <f>IF(Table1[[#This Row],[Column5]]="","",INDEX(Table2[Column1],MATCH(Table1[[#This Row],[Column5]],Table2[a],0)))</f>
        <v/>
      </c>
      <c r="I422" s="234" t="str">
        <f>IF(Table1[[#This Row],[Column3]]=0,"",CONCATENATE(UPPER(Table1[[#This Row],[Column3]])," ",Table1[[#This Row],[Column4]]))</f>
        <v xml:space="preserve"> </v>
      </c>
      <c r="J422" s="234" t="str">
        <f>IF(Table1[[#This Row],[Column5]]="","",INDEX(Table2[e],IF(Table1[[#This Row],[Column5]]="","",MATCH(Table1[[#This Row],[Column5]],Table2[a],0)),))</f>
        <v/>
      </c>
      <c r="K422" s="234"/>
      <c r="L422" s="234"/>
      <c r="O422" s="234" t="str">
        <f>IF(Table1[[#This Row],[h_Item Description]]="","",INDEX([1]!db[NB PAJAK],MATCH(Table1[[#This Row],[h_Item Description]],[1]!db[kode],0)))</f>
        <v/>
      </c>
      <c r="Q422" s="237"/>
      <c r="R422" s="238"/>
      <c r="S422" s="238"/>
      <c r="T422" s="237" t="str">
        <f>Table1[[#This Row],[h_hargasetelahdiskon]]</f>
        <v/>
      </c>
      <c r="V422" s="234"/>
      <c r="W422" s="234" t="str">
        <f ca="1">IF(Table1[[#This Row],[Column12]]="","",IF(Table1[[#This Row],[//]]="",INDIRECT(ADDRESS(ROW()-1,COLUMN())),Table1[[#This Row],[//]]))</f>
        <v/>
      </c>
      <c r="X422" s="234" t="str">
        <f ca="1">IF(Table1[[#This Row],[h_id]]="","",COUNTIF(Table1[h_id],Table1[[#This Row],[h_id]]))</f>
        <v/>
      </c>
      <c r="Y422" s="237" t="str">
        <f>IF(Table1[[#This Row],[Column12]]="","",Table1[[#This Row],[Qty]]*Table1[[#This Row],[Column13]])</f>
        <v/>
      </c>
      <c r="Z422" s="237" t="str">
        <f>IF(Table1[[#This Row],[h_hargasebelumdiskon]]="","",IF(Table1[[#This Row],[Column14]]="",0,Table1[[#This Row],[h_hargasebelumdiskon]]*Table1[[#This Row],[Column14]]))</f>
        <v/>
      </c>
      <c r="AA422" s="237" t="str">
        <f>IF(Table1[[#This Row],[h_hargasebelumdiskon]]="","",IF(Table1[[#This Row],[Column15]]="",0,(Table1[[#This Row],[h_hargasebelumdiskon]]-Table1[[#This Row],[h_disc 1]])*Table1[[#This Row],[Column15]]))</f>
        <v/>
      </c>
      <c r="AB422" s="237" t="str">
        <f>IF(Table1[[#This Row],[Column12]]="","",Table1[[#This Row],[h_disc 1]]+Table1[[#This Row],[h_disc 2]])</f>
        <v/>
      </c>
      <c r="AC422" s="237" t="str">
        <f>IF(Table1[[#This Row],[Column12]]="","",Table1[[#This Row],[h_hargasebelumdiskon]]-Table1[[#This Row],[h_diskon]])</f>
        <v/>
      </c>
      <c r="AD422" s="237" t="str">
        <f ca="1">IF(Table1[[#This Row],[//]]="","",SUMIF(Table1[h_id],Table1[[#This Row],[h_id]],Table1[h_hargasetelahdiskon]))</f>
        <v/>
      </c>
      <c r="AF422" s="237" t="str">
        <f>Table1[[#This Row],[Column12]]&amp;Table1[[#This Row],[Unit]]&amp;Table1[[#This Row],[Column13]]</f>
        <v/>
      </c>
      <c r="AG422"/>
      <c r="AH422"/>
      <c r="AI422"/>
    </row>
    <row r="423" spans="1:35">
      <c r="A423" s="234" t="str">
        <f ca="1">IF(Table1[[#This Row],[No. Invoice :]]="","",ROW())</f>
        <v/>
      </c>
      <c r="B423" s="234" t="str">
        <f ca="1">IF(Table1[[#This Row],[Column3]]="","",B$1+COUNT(INDIRECT("B$2:B"&amp;ROW()-1)))</f>
        <v/>
      </c>
      <c r="C423" s="235" t="str">
        <f>IF(Table1[[#This Row],[Column2]]="","",Table1[[#This Row],[Column2]]+C$1-1)</f>
        <v/>
      </c>
      <c r="E423" s="236"/>
      <c r="F423" s="234"/>
      <c r="G423" s="234" t="str">
        <f ca="1">IF(Table1[[#This Row],[h_No. Invoice :]]="","",CONCATENATE("AM"," ",Table1[[#This Row],[h_No. Invoice :]]))</f>
        <v/>
      </c>
      <c r="H423" s="234" t="str">
        <f>IF(Table1[[#This Row],[Column5]]="","",INDEX(Table2[Column1],MATCH(Table1[[#This Row],[Column5]],Table2[a],0)))</f>
        <v/>
      </c>
      <c r="I423" s="234" t="str">
        <f>IF(Table1[[#This Row],[Column3]]=0,"",CONCATENATE(UPPER(Table1[[#This Row],[Column3]])," ",Table1[[#This Row],[Column4]]))</f>
        <v xml:space="preserve"> </v>
      </c>
      <c r="J423" s="234" t="str">
        <f>IF(Table1[[#This Row],[Column5]]="","",INDEX(Table2[e],IF(Table1[[#This Row],[Column5]]="","",MATCH(Table1[[#This Row],[Column5]],Table2[a],0)),))</f>
        <v/>
      </c>
      <c r="K423" s="234"/>
      <c r="L423" s="234"/>
      <c r="O423" s="234" t="str">
        <f>IF(Table1[[#This Row],[h_Item Description]]="","",INDEX([1]!db[NB PAJAK],MATCH(Table1[[#This Row],[h_Item Description]],[1]!db[kode],0)))</f>
        <v/>
      </c>
      <c r="Q423" s="237"/>
      <c r="R423" s="238"/>
      <c r="S423" s="238"/>
      <c r="T423" s="237" t="str">
        <f>Table1[[#This Row],[h_hargasetelahdiskon]]</f>
        <v/>
      </c>
      <c r="V423" s="234"/>
      <c r="W423" s="234" t="str">
        <f ca="1">IF(Table1[[#This Row],[Column12]]="","",IF(Table1[[#This Row],[//]]="",INDIRECT(ADDRESS(ROW()-1,COLUMN())),Table1[[#This Row],[//]]))</f>
        <v/>
      </c>
      <c r="X423" s="234" t="str">
        <f ca="1">IF(Table1[[#This Row],[h_id]]="","",COUNTIF(Table1[h_id],Table1[[#This Row],[h_id]]))</f>
        <v/>
      </c>
      <c r="Y423" s="237" t="str">
        <f>IF(Table1[[#This Row],[Column12]]="","",Table1[[#This Row],[Qty]]*Table1[[#This Row],[Column13]])</f>
        <v/>
      </c>
      <c r="Z423" s="237" t="str">
        <f>IF(Table1[[#This Row],[h_hargasebelumdiskon]]="","",IF(Table1[[#This Row],[Column14]]="",0,Table1[[#This Row],[h_hargasebelumdiskon]]*Table1[[#This Row],[Column14]]))</f>
        <v/>
      </c>
      <c r="AA423" s="237" t="str">
        <f>IF(Table1[[#This Row],[h_hargasebelumdiskon]]="","",IF(Table1[[#This Row],[Column15]]="",0,(Table1[[#This Row],[h_hargasebelumdiskon]]-Table1[[#This Row],[h_disc 1]])*Table1[[#This Row],[Column15]]))</f>
        <v/>
      </c>
      <c r="AB423" s="237" t="str">
        <f>IF(Table1[[#This Row],[Column12]]="","",Table1[[#This Row],[h_disc 1]]+Table1[[#This Row],[h_disc 2]])</f>
        <v/>
      </c>
      <c r="AC423" s="237" t="str">
        <f>IF(Table1[[#This Row],[Column12]]="","",Table1[[#This Row],[h_hargasebelumdiskon]]-Table1[[#This Row],[h_diskon]])</f>
        <v/>
      </c>
      <c r="AD423" s="237" t="str">
        <f ca="1">IF(Table1[[#This Row],[//]]="","",SUMIF(Table1[h_id],Table1[[#This Row],[h_id]],Table1[h_hargasetelahdiskon]))</f>
        <v/>
      </c>
      <c r="AF423" s="237" t="str">
        <f>Table1[[#This Row],[Column12]]&amp;Table1[[#This Row],[Unit]]&amp;Table1[[#This Row],[Column13]]</f>
        <v/>
      </c>
      <c r="AG423"/>
      <c r="AH423"/>
      <c r="AI423"/>
    </row>
    <row r="424" spans="1:35">
      <c r="A424" s="234" t="str">
        <f ca="1">IF(Table1[[#This Row],[No. Invoice :]]="","",ROW())</f>
        <v/>
      </c>
      <c r="B424" s="234" t="str">
        <f ca="1">IF(Table1[[#This Row],[Column3]]="","",B$1+COUNT(INDIRECT("B$2:B"&amp;ROW()-1)))</f>
        <v/>
      </c>
      <c r="C424" s="235" t="str">
        <f>IF(Table1[[#This Row],[Column2]]="","",Table1[[#This Row],[Column2]]+C$1-1)</f>
        <v/>
      </c>
      <c r="E424" s="236"/>
      <c r="F424" s="234"/>
      <c r="G424" s="234" t="str">
        <f ca="1">IF(Table1[[#This Row],[h_No. Invoice :]]="","",CONCATENATE("AM"," ",Table1[[#This Row],[h_No. Invoice :]]))</f>
        <v/>
      </c>
      <c r="H424" s="234" t="str">
        <f>IF(Table1[[#This Row],[Column5]]="","",INDEX(Table2[Column1],MATCH(Table1[[#This Row],[Column5]],Table2[a],0)))</f>
        <v/>
      </c>
      <c r="I424" s="234" t="str">
        <f>IF(Table1[[#This Row],[Column3]]=0,"",CONCATENATE(UPPER(Table1[[#This Row],[Column3]])," ",Table1[[#This Row],[Column4]]))</f>
        <v xml:space="preserve"> </v>
      </c>
      <c r="J424" s="234" t="str">
        <f>IF(Table1[[#This Row],[Column5]]="","",INDEX(Table2[e],IF(Table1[[#This Row],[Column5]]="","",MATCH(Table1[[#This Row],[Column5]],Table2[a],0)),))</f>
        <v/>
      </c>
      <c r="K424" s="234"/>
      <c r="L424" s="234"/>
      <c r="O424" s="234" t="str">
        <f>IF(Table1[[#This Row],[h_Item Description]]="","",INDEX([1]!db[NB PAJAK],MATCH(Table1[[#This Row],[h_Item Description]],[1]!db[kode],0)))</f>
        <v/>
      </c>
      <c r="Q424" s="237"/>
      <c r="R424" s="238"/>
      <c r="S424" s="238"/>
      <c r="T424" s="237" t="str">
        <f>Table1[[#This Row],[h_hargasetelahdiskon]]</f>
        <v/>
      </c>
      <c r="V424" s="234"/>
      <c r="W424" s="234" t="str">
        <f ca="1">IF(Table1[[#This Row],[Column12]]="","",IF(Table1[[#This Row],[//]]="",INDIRECT(ADDRESS(ROW()-1,COLUMN())),Table1[[#This Row],[//]]))</f>
        <v/>
      </c>
      <c r="X424" s="234" t="str">
        <f ca="1">IF(Table1[[#This Row],[h_id]]="","",COUNTIF(Table1[h_id],Table1[[#This Row],[h_id]]))</f>
        <v/>
      </c>
      <c r="Y424" s="237" t="str">
        <f>IF(Table1[[#This Row],[Column12]]="","",Table1[[#This Row],[Qty]]*Table1[[#This Row],[Column13]])</f>
        <v/>
      </c>
      <c r="Z424" s="237" t="str">
        <f>IF(Table1[[#This Row],[h_hargasebelumdiskon]]="","",IF(Table1[[#This Row],[Column14]]="",0,Table1[[#This Row],[h_hargasebelumdiskon]]*Table1[[#This Row],[Column14]]))</f>
        <v/>
      </c>
      <c r="AA424" s="237" t="str">
        <f>IF(Table1[[#This Row],[h_hargasebelumdiskon]]="","",IF(Table1[[#This Row],[Column15]]="",0,(Table1[[#This Row],[h_hargasebelumdiskon]]-Table1[[#This Row],[h_disc 1]])*Table1[[#This Row],[Column15]]))</f>
        <v/>
      </c>
      <c r="AB424" s="237" t="str">
        <f>IF(Table1[[#This Row],[Column12]]="","",Table1[[#This Row],[h_disc 1]]+Table1[[#This Row],[h_disc 2]])</f>
        <v/>
      </c>
      <c r="AC424" s="237" t="str">
        <f>IF(Table1[[#This Row],[Column12]]="","",Table1[[#This Row],[h_hargasebelumdiskon]]-Table1[[#This Row],[h_diskon]])</f>
        <v/>
      </c>
      <c r="AD424" s="237" t="str">
        <f ca="1">IF(Table1[[#This Row],[//]]="","",SUMIF(Table1[h_id],Table1[[#This Row],[h_id]],Table1[h_hargasetelahdiskon]))</f>
        <v/>
      </c>
      <c r="AF424" s="237" t="str">
        <f>Table1[[#This Row],[Column12]]&amp;Table1[[#This Row],[Unit]]&amp;Table1[[#This Row],[Column13]]</f>
        <v/>
      </c>
      <c r="AG424"/>
      <c r="AH424"/>
      <c r="AI424"/>
    </row>
    <row r="425" spans="1:35">
      <c r="A425" s="234" t="str">
        <f ca="1">IF(Table1[[#This Row],[No. Invoice :]]="","",ROW())</f>
        <v/>
      </c>
      <c r="B425" s="234" t="str">
        <f ca="1">IF(Table1[[#This Row],[Column3]]="","",B$1+COUNT(INDIRECT("B$2:B"&amp;ROW()-1)))</f>
        <v/>
      </c>
      <c r="C425" s="235" t="str">
        <f>IF(Table1[[#This Row],[Column2]]="","",Table1[[#This Row],[Column2]]+C$1-1)</f>
        <v/>
      </c>
      <c r="E425" s="236"/>
      <c r="F425" s="234"/>
      <c r="G425" s="234" t="str">
        <f ca="1">IF(Table1[[#This Row],[h_No. Invoice :]]="","",CONCATENATE("AM"," ",Table1[[#This Row],[h_No. Invoice :]]))</f>
        <v/>
      </c>
      <c r="H425" s="234" t="str">
        <f>IF(Table1[[#This Row],[Column5]]="","",INDEX(Table2[Column1],MATCH(Table1[[#This Row],[Column5]],Table2[a],0)))</f>
        <v/>
      </c>
      <c r="I425" s="234" t="str">
        <f>IF(Table1[[#This Row],[Column3]]=0,"",CONCATENATE(UPPER(Table1[[#This Row],[Column3]])," ",Table1[[#This Row],[Column4]]))</f>
        <v xml:space="preserve"> </v>
      </c>
      <c r="J425" s="234" t="str">
        <f>IF(Table1[[#This Row],[Column5]]="","",INDEX(Table2[e],IF(Table1[[#This Row],[Column5]]="","",MATCH(Table1[[#This Row],[Column5]],Table2[a],0)),))</f>
        <v/>
      </c>
      <c r="K425" s="234"/>
      <c r="L425" s="234"/>
      <c r="O425" s="234" t="str">
        <f>IF(Table1[[#This Row],[h_Item Description]]="","",INDEX([1]!db[NB PAJAK],MATCH(Table1[[#This Row],[h_Item Description]],[1]!db[kode],0)))</f>
        <v/>
      </c>
      <c r="Q425" s="237"/>
      <c r="R425" s="238"/>
      <c r="S425" s="238"/>
      <c r="T425" s="237" t="str">
        <f>Table1[[#This Row],[h_hargasetelahdiskon]]</f>
        <v/>
      </c>
      <c r="V425" s="234"/>
      <c r="W425" s="234" t="str">
        <f ca="1">IF(Table1[[#This Row],[Column12]]="","",IF(Table1[[#This Row],[//]]="",INDIRECT(ADDRESS(ROW()-1,COLUMN())),Table1[[#This Row],[//]]))</f>
        <v/>
      </c>
      <c r="X425" s="234" t="str">
        <f ca="1">IF(Table1[[#This Row],[h_id]]="","",COUNTIF(Table1[h_id],Table1[[#This Row],[h_id]]))</f>
        <v/>
      </c>
      <c r="Y425" s="237" t="str">
        <f>IF(Table1[[#This Row],[Column12]]="","",Table1[[#This Row],[Qty]]*Table1[[#This Row],[Column13]])</f>
        <v/>
      </c>
      <c r="Z425" s="237" t="str">
        <f>IF(Table1[[#This Row],[h_hargasebelumdiskon]]="","",IF(Table1[[#This Row],[Column14]]="",0,Table1[[#This Row],[h_hargasebelumdiskon]]*Table1[[#This Row],[Column14]]))</f>
        <v/>
      </c>
      <c r="AA425" s="237" t="str">
        <f>IF(Table1[[#This Row],[h_hargasebelumdiskon]]="","",IF(Table1[[#This Row],[Column15]]="",0,(Table1[[#This Row],[h_hargasebelumdiskon]]-Table1[[#This Row],[h_disc 1]])*Table1[[#This Row],[Column15]]))</f>
        <v/>
      </c>
      <c r="AB425" s="237" t="str">
        <f>IF(Table1[[#This Row],[Column12]]="","",Table1[[#This Row],[h_disc 1]]+Table1[[#This Row],[h_disc 2]])</f>
        <v/>
      </c>
      <c r="AC425" s="237" t="str">
        <f>IF(Table1[[#This Row],[Column12]]="","",Table1[[#This Row],[h_hargasebelumdiskon]]-Table1[[#This Row],[h_diskon]])</f>
        <v/>
      </c>
      <c r="AD425" s="237" t="str">
        <f ca="1">IF(Table1[[#This Row],[//]]="","",SUMIF(Table1[h_id],Table1[[#This Row],[h_id]],Table1[h_hargasetelahdiskon]))</f>
        <v/>
      </c>
      <c r="AF425" s="237" t="str">
        <f>Table1[[#This Row],[Column12]]&amp;Table1[[#This Row],[Unit]]&amp;Table1[[#This Row],[Column13]]</f>
        <v/>
      </c>
      <c r="AG425"/>
      <c r="AH425"/>
      <c r="AI425"/>
    </row>
    <row r="426" spans="1:35">
      <c r="A426" s="234" t="str">
        <f ca="1">IF(Table1[[#This Row],[No. Invoice :]]="","",ROW())</f>
        <v/>
      </c>
      <c r="B426" s="234" t="str">
        <f ca="1">IF(Table1[[#This Row],[Column3]]="","",B$1+COUNT(INDIRECT("B$2:B"&amp;ROW()-1)))</f>
        <v/>
      </c>
      <c r="C426" s="235" t="str">
        <f>IF(Table1[[#This Row],[Column2]]="","",Table1[[#This Row],[Column2]]+C$1-1)</f>
        <v/>
      </c>
      <c r="E426" s="236"/>
      <c r="F426" s="234"/>
      <c r="G426" s="234" t="str">
        <f ca="1">IF(Table1[[#This Row],[h_No. Invoice :]]="","",CONCATENATE("AM"," ",Table1[[#This Row],[h_No. Invoice :]]))</f>
        <v/>
      </c>
      <c r="H426" s="234" t="str">
        <f>IF(Table1[[#This Row],[Column5]]="","",INDEX(Table2[Column1],MATCH(Table1[[#This Row],[Column5]],Table2[a],0)))</f>
        <v/>
      </c>
      <c r="I426" s="234" t="str">
        <f>IF(Table1[[#This Row],[Column3]]=0,"",CONCATENATE(UPPER(Table1[[#This Row],[Column3]])," ",Table1[[#This Row],[Column4]]))</f>
        <v xml:space="preserve"> </v>
      </c>
      <c r="J426" s="234" t="str">
        <f>IF(Table1[[#This Row],[Column5]]="","",INDEX(Table2[e],IF(Table1[[#This Row],[Column5]]="","",MATCH(Table1[[#This Row],[Column5]],Table2[a],0)),))</f>
        <v/>
      </c>
      <c r="K426" s="234"/>
      <c r="L426" s="234"/>
      <c r="O426" s="234" t="str">
        <f>IF(Table1[[#This Row],[h_Item Description]]="","",INDEX([1]!db[NB PAJAK],MATCH(Table1[[#This Row],[h_Item Description]],[1]!db[kode],0)))</f>
        <v/>
      </c>
      <c r="Q426" s="237"/>
      <c r="R426" s="238"/>
      <c r="S426" s="238"/>
      <c r="T426" s="237" t="str">
        <f>Table1[[#This Row],[h_hargasetelahdiskon]]</f>
        <v/>
      </c>
      <c r="V426" s="234"/>
      <c r="W426" s="234" t="str">
        <f ca="1">IF(Table1[[#This Row],[Column12]]="","",IF(Table1[[#This Row],[//]]="",INDIRECT(ADDRESS(ROW()-1,COLUMN())),Table1[[#This Row],[//]]))</f>
        <v/>
      </c>
      <c r="X426" s="234" t="str">
        <f ca="1">IF(Table1[[#This Row],[h_id]]="","",COUNTIF(Table1[h_id],Table1[[#This Row],[h_id]]))</f>
        <v/>
      </c>
      <c r="Y426" s="237" t="str">
        <f>IF(Table1[[#This Row],[Column12]]="","",Table1[[#This Row],[Qty]]*Table1[[#This Row],[Column13]])</f>
        <v/>
      </c>
      <c r="Z426" s="237" t="str">
        <f>IF(Table1[[#This Row],[h_hargasebelumdiskon]]="","",IF(Table1[[#This Row],[Column14]]="",0,Table1[[#This Row],[h_hargasebelumdiskon]]*Table1[[#This Row],[Column14]]))</f>
        <v/>
      </c>
      <c r="AA426" s="237" t="str">
        <f>IF(Table1[[#This Row],[h_hargasebelumdiskon]]="","",IF(Table1[[#This Row],[Column15]]="",0,(Table1[[#This Row],[h_hargasebelumdiskon]]-Table1[[#This Row],[h_disc 1]])*Table1[[#This Row],[Column15]]))</f>
        <v/>
      </c>
      <c r="AB426" s="237" t="str">
        <f>IF(Table1[[#This Row],[Column12]]="","",Table1[[#This Row],[h_disc 1]]+Table1[[#This Row],[h_disc 2]])</f>
        <v/>
      </c>
      <c r="AC426" s="237" t="str">
        <f>IF(Table1[[#This Row],[Column12]]="","",Table1[[#This Row],[h_hargasebelumdiskon]]-Table1[[#This Row],[h_diskon]])</f>
        <v/>
      </c>
      <c r="AD426" s="237" t="str">
        <f ca="1">IF(Table1[[#This Row],[//]]="","",SUMIF(Table1[h_id],Table1[[#This Row],[h_id]],Table1[h_hargasetelahdiskon]))</f>
        <v/>
      </c>
      <c r="AF426" s="237" t="str">
        <f>Table1[[#This Row],[Column12]]&amp;Table1[[#This Row],[Unit]]&amp;Table1[[#This Row],[Column13]]</f>
        <v/>
      </c>
      <c r="AG426"/>
      <c r="AH426"/>
      <c r="AI426"/>
    </row>
    <row r="427" spans="1:35">
      <c r="A427" s="234" t="str">
        <f ca="1">IF(Table1[[#This Row],[No. Invoice :]]="","",ROW())</f>
        <v/>
      </c>
      <c r="B427" s="234" t="str">
        <f ca="1">IF(Table1[[#This Row],[Column3]]="","",B$1+COUNT(INDIRECT("B$2:B"&amp;ROW()-1)))</f>
        <v/>
      </c>
      <c r="C427" s="235" t="str">
        <f>IF(Table1[[#This Row],[Column2]]="","",Table1[[#This Row],[Column2]]+C$1-1)</f>
        <v/>
      </c>
      <c r="E427" s="236"/>
      <c r="F427" s="234"/>
      <c r="G427" s="234" t="str">
        <f ca="1">IF(Table1[[#This Row],[h_No. Invoice :]]="","",CONCATENATE("AM"," ",Table1[[#This Row],[h_No. Invoice :]]))</f>
        <v/>
      </c>
      <c r="H427" s="234" t="str">
        <f>IF(Table1[[#This Row],[Column5]]="","",INDEX(Table2[Column1],MATCH(Table1[[#This Row],[Column5]],Table2[a],0)))</f>
        <v/>
      </c>
      <c r="I427" s="234" t="str">
        <f>IF(Table1[[#This Row],[Column3]]=0,"",CONCATENATE(UPPER(Table1[[#This Row],[Column3]])," ",Table1[[#This Row],[Column4]]))</f>
        <v xml:space="preserve"> </v>
      </c>
      <c r="J427" s="234" t="str">
        <f>IF(Table1[[#This Row],[Column5]]="","",INDEX(Table2[e],IF(Table1[[#This Row],[Column5]]="","",MATCH(Table1[[#This Row],[Column5]],Table2[a],0)),))</f>
        <v/>
      </c>
      <c r="K427" s="234"/>
      <c r="L427" s="234"/>
      <c r="O427" s="234" t="str">
        <f>IF(Table1[[#This Row],[h_Item Description]]="","",INDEX([1]!db[NB PAJAK],MATCH(Table1[[#This Row],[h_Item Description]],[1]!db[kode],0)))</f>
        <v/>
      </c>
      <c r="Q427" s="237"/>
      <c r="R427" s="238"/>
      <c r="S427" s="238"/>
      <c r="T427" s="237" t="str">
        <f>Table1[[#This Row],[h_hargasetelahdiskon]]</f>
        <v/>
      </c>
      <c r="V427" s="234"/>
      <c r="W427" s="234" t="str">
        <f ca="1">IF(Table1[[#This Row],[Column12]]="","",IF(Table1[[#This Row],[//]]="",INDIRECT(ADDRESS(ROW()-1,COLUMN())),Table1[[#This Row],[//]]))</f>
        <v/>
      </c>
      <c r="X427" s="234" t="str">
        <f ca="1">IF(Table1[[#This Row],[h_id]]="","",COUNTIF(Table1[h_id],Table1[[#This Row],[h_id]]))</f>
        <v/>
      </c>
      <c r="Y427" s="237" t="str">
        <f>IF(Table1[[#This Row],[Column12]]="","",Table1[[#This Row],[Qty]]*Table1[[#This Row],[Column13]])</f>
        <v/>
      </c>
      <c r="Z427" s="237" t="str">
        <f>IF(Table1[[#This Row],[h_hargasebelumdiskon]]="","",IF(Table1[[#This Row],[Column14]]="",0,Table1[[#This Row],[h_hargasebelumdiskon]]*Table1[[#This Row],[Column14]]))</f>
        <v/>
      </c>
      <c r="AA427" s="237" t="str">
        <f>IF(Table1[[#This Row],[h_hargasebelumdiskon]]="","",IF(Table1[[#This Row],[Column15]]="",0,(Table1[[#This Row],[h_hargasebelumdiskon]]-Table1[[#This Row],[h_disc 1]])*Table1[[#This Row],[Column15]]))</f>
        <v/>
      </c>
      <c r="AB427" s="237" t="str">
        <f>IF(Table1[[#This Row],[Column12]]="","",Table1[[#This Row],[h_disc 1]]+Table1[[#This Row],[h_disc 2]])</f>
        <v/>
      </c>
      <c r="AC427" s="237" t="str">
        <f>IF(Table1[[#This Row],[Column12]]="","",Table1[[#This Row],[h_hargasebelumdiskon]]-Table1[[#This Row],[h_diskon]])</f>
        <v/>
      </c>
      <c r="AD427" s="237" t="str">
        <f ca="1">IF(Table1[[#This Row],[//]]="","",SUMIF(Table1[h_id],Table1[[#This Row],[h_id]],Table1[h_hargasetelahdiskon]))</f>
        <v/>
      </c>
      <c r="AF427" s="237" t="str">
        <f>Table1[[#This Row],[Column12]]&amp;Table1[[#This Row],[Unit]]&amp;Table1[[#This Row],[Column13]]</f>
        <v/>
      </c>
      <c r="AG427"/>
      <c r="AH427"/>
      <c r="AI427"/>
    </row>
    <row r="428" spans="1:35">
      <c r="A428" s="234" t="str">
        <f ca="1">IF(Table1[[#This Row],[No. Invoice :]]="","",ROW())</f>
        <v/>
      </c>
      <c r="B428" s="234" t="str">
        <f ca="1">IF(Table1[[#This Row],[Column3]]="","",B$1+COUNT(INDIRECT("B$2:B"&amp;ROW()-1)))</f>
        <v/>
      </c>
      <c r="C428" s="235" t="str">
        <f>IF(Table1[[#This Row],[Column2]]="","",Table1[[#This Row],[Column2]]+C$1-1)</f>
        <v/>
      </c>
      <c r="E428" s="236"/>
      <c r="F428" s="234"/>
      <c r="G428" s="234" t="str">
        <f ca="1">IF(Table1[[#This Row],[h_No. Invoice :]]="","",CONCATENATE("AM"," ",Table1[[#This Row],[h_No. Invoice :]]))</f>
        <v/>
      </c>
      <c r="H428" s="234" t="str">
        <f>IF(Table1[[#This Row],[Column5]]="","",INDEX(Table2[Column1],MATCH(Table1[[#This Row],[Column5]],Table2[a],0)))</f>
        <v/>
      </c>
      <c r="I428" s="234" t="str">
        <f>IF(Table1[[#This Row],[Column3]]=0,"",CONCATENATE(UPPER(Table1[[#This Row],[Column3]])," ",Table1[[#This Row],[Column4]]))</f>
        <v xml:space="preserve"> </v>
      </c>
      <c r="J428" s="234" t="str">
        <f>IF(Table1[[#This Row],[Column5]]="","",INDEX(Table2[e],IF(Table1[[#This Row],[Column5]]="","",MATCH(Table1[[#This Row],[Column5]],Table2[a],0)),))</f>
        <v/>
      </c>
      <c r="K428" s="234"/>
      <c r="L428" s="234"/>
      <c r="O428" s="234" t="str">
        <f>IF(Table1[[#This Row],[h_Item Description]]="","",INDEX([1]!db[NB PAJAK],MATCH(Table1[[#This Row],[h_Item Description]],[1]!db[kode],0)))</f>
        <v/>
      </c>
      <c r="Q428" s="237"/>
      <c r="R428" s="238"/>
      <c r="S428" s="238"/>
      <c r="T428" s="237" t="str">
        <f>Table1[[#This Row],[h_hargasetelahdiskon]]</f>
        <v/>
      </c>
      <c r="V428" s="234"/>
      <c r="W428" s="234" t="str">
        <f ca="1">IF(Table1[[#This Row],[Column12]]="","",IF(Table1[[#This Row],[//]]="",INDIRECT(ADDRESS(ROW()-1,COLUMN())),Table1[[#This Row],[//]]))</f>
        <v/>
      </c>
      <c r="X428" s="234" t="str">
        <f ca="1">IF(Table1[[#This Row],[h_id]]="","",COUNTIF(Table1[h_id],Table1[[#This Row],[h_id]]))</f>
        <v/>
      </c>
      <c r="Y428" s="237" t="str">
        <f>IF(Table1[[#This Row],[Column12]]="","",Table1[[#This Row],[Qty]]*Table1[[#This Row],[Column13]])</f>
        <v/>
      </c>
      <c r="Z428" s="237" t="str">
        <f>IF(Table1[[#This Row],[h_hargasebelumdiskon]]="","",IF(Table1[[#This Row],[Column14]]="",0,Table1[[#This Row],[h_hargasebelumdiskon]]*Table1[[#This Row],[Column14]]))</f>
        <v/>
      </c>
      <c r="AA428" s="237" t="str">
        <f>IF(Table1[[#This Row],[h_hargasebelumdiskon]]="","",IF(Table1[[#This Row],[Column15]]="",0,(Table1[[#This Row],[h_hargasebelumdiskon]]-Table1[[#This Row],[h_disc 1]])*Table1[[#This Row],[Column15]]))</f>
        <v/>
      </c>
      <c r="AB428" s="237" t="str">
        <f>IF(Table1[[#This Row],[Column12]]="","",Table1[[#This Row],[h_disc 1]]+Table1[[#This Row],[h_disc 2]])</f>
        <v/>
      </c>
      <c r="AC428" s="237" t="str">
        <f>IF(Table1[[#This Row],[Column12]]="","",Table1[[#This Row],[h_hargasebelumdiskon]]-Table1[[#This Row],[h_diskon]])</f>
        <v/>
      </c>
      <c r="AD428" s="237" t="str">
        <f ca="1">IF(Table1[[#This Row],[//]]="","",SUMIF(Table1[h_id],Table1[[#This Row],[h_id]],Table1[h_hargasetelahdiskon]))</f>
        <v/>
      </c>
      <c r="AF428" s="237" t="str">
        <f>Table1[[#This Row],[Column12]]&amp;Table1[[#This Row],[Unit]]&amp;Table1[[#This Row],[Column13]]</f>
        <v/>
      </c>
      <c r="AG428"/>
      <c r="AH428"/>
      <c r="AI428"/>
    </row>
    <row r="429" spans="1:35">
      <c r="A429" s="234" t="str">
        <f ca="1">IF(Table1[[#This Row],[No. Invoice :]]="","",ROW())</f>
        <v/>
      </c>
      <c r="B429" s="234" t="str">
        <f ca="1">IF(Table1[[#This Row],[Column3]]="","",B$1+COUNT(INDIRECT("B$2:B"&amp;ROW()-1)))</f>
        <v/>
      </c>
      <c r="C429" s="235" t="str">
        <f>IF(Table1[[#This Row],[Column2]]="","",Table1[[#This Row],[Column2]]+C$1-1)</f>
        <v/>
      </c>
      <c r="E429" s="236"/>
      <c r="F429" s="234"/>
      <c r="G429" s="234" t="str">
        <f ca="1">IF(Table1[[#This Row],[h_No. Invoice :]]="","",CONCATENATE("AM"," ",Table1[[#This Row],[h_No. Invoice :]]))</f>
        <v/>
      </c>
      <c r="H429" s="234" t="str">
        <f>IF(Table1[[#This Row],[Column5]]="","",INDEX(Table2[Column1],MATCH(Table1[[#This Row],[Column5]],Table2[a],0)))</f>
        <v/>
      </c>
      <c r="I429" s="234" t="str">
        <f>IF(Table1[[#This Row],[Column3]]=0,"",CONCATENATE(UPPER(Table1[[#This Row],[Column3]])," ",Table1[[#This Row],[Column4]]))</f>
        <v xml:space="preserve"> </v>
      </c>
      <c r="J429" s="234" t="str">
        <f>IF(Table1[[#This Row],[Column5]]="","",INDEX(Table2[e],IF(Table1[[#This Row],[Column5]]="","",MATCH(Table1[[#This Row],[Column5]],Table2[a],0)),))</f>
        <v/>
      </c>
      <c r="K429" s="234"/>
      <c r="L429" s="234"/>
      <c r="O429" s="234" t="str">
        <f>IF(Table1[[#This Row],[h_Item Description]]="","",INDEX([1]!db[NB PAJAK],MATCH(Table1[[#This Row],[h_Item Description]],[1]!db[kode],0)))</f>
        <v/>
      </c>
      <c r="Q429" s="237"/>
      <c r="R429" s="238"/>
      <c r="S429" s="238"/>
      <c r="T429" s="237" t="str">
        <f>Table1[[#This Row],[h_hargasetelahdiskon]]</f>
        <v/>
      </c>
      <c r="V429" s="234"/>
      <c r="W429" s="234" t="str">
        <f ca="1">IF(Table1[[#This Row],[Column12]]="","",IF(Table1[[#This Row],[//]]="",INDIRECT(ADDRESS(ROW()-1,COLUMN())),Table1[[#This Row],[//]]))</f>
        <v/>
      </c>
      <c r="X429" s="234" t="str">
        <f ca="1">IF(Table1[[#This Row],[h_id]]="","",COUNTIF(Table1[h_id],Table1[[#This Row],[h_id]]))</f>
        <v/>
      </c>
      <c r="Y429" s="237" t="str">
        <f>IF(Table1[[#This Row],[Column12]]="","",Table1[[#This Row],[Qty]]*Table1[[#This Row],[Column13]])</f>
        <v/>
      </c>
      <c r="Z429" s="237" t="str">
        <f>IF(Table1[[#This Row],[h_hargasebelumdiskon]]="","",IF(Table1[[#This Row],[Column14]]="",0,Table1[[#This Row],[h_hargasebelumdiskon]]*Table1[[#This Row],[Column14]]))</f>
        <v/>
      </c>
      <c r="AA429" s="237" t="str">
        <f>IF(Table1[[#This Row],[h_hargasebelumdiskon]]="","",IF(Table1[[#This Row],[Column15]]="",0,(Table1[[#This Row],[h_hargasebelumdiskon]]-Table1[[#This Row],[h_disc 1]])*Table1[[#This Row],[Column15]]))</f>
        <v/>
      </c>
      <c r="AB429" s="237" t="str">
        <f>IF(Table1[[#This Row],[Column12]]="","",Table1[[#This Row],[h_disc 1]]+Table1[[#This Row],[h_disc 2]])</f>
        <v/>
      </c>
      <c r="AC429" s="237" t="str">
        <f>IF(Table1[[#This Row],[Column12]]="","",Table1[[#This Row],[h_hargasebelumdiskon]]-Table1[[#This Row],[h_diskon]])</f>
        <v/>
      </c>
      <c r="AD429" s="237" t="str">
        <f ca="1">IF(Table1[[#This Row],[//]]="","",SUMIF(Table1[h_id],Table1[[#This Row],[h_id]],Table1[h_hargasetelahdiskon]))</f>
        <v/>
      </c>
      <c r="AF429" s="237" t="str">
        <f>Table1[[#This Row],[Column12]]&amp;Table1[[#This Row],[Unit]]&amp;Table1[[#This Row],[Column13]]</f>
        <v/>
      </c>
      <c r="AG429"/>
      <c r="AH429"/>
      <c r="AI429"/>
    </row>
    <row r="430" spans="1:35">
      <c r="A430" s="234" t="str">
        <f ca="1">IF(Table1[[#This Row],[No. Invoice :]]="","",ROW())</f>
        <v/>
      </c>
      <c r="B430" s="234" t="str">
        <f ca="1">IF(Table1[[#This Row],[Column3]]="","",B$1+COUNT(INDIRECT("B$2:B"&amp;ROW()-1)))</f>
        <v/>
      </c>
      <c r="C430" s="235" t="str">
        <f>IF(Table1[[#This Row],[Column2]]="","",Table1[[#This Row],[Column2]]+C$1-1)</f>
        <v/>
      </c>
      <c r="E430" s="236"/>
      <c r="F430" s="234"/>
      <c r="G430" s="234" t="str">
        <f ca="1">IF(Table1[[#This Row],[h_No. Invoice :]]="","",CONCATENATE("AM"," ",Table1[[#This Row],[h_No. Invoice :]]))</f>
        <v/>
      </c>
      <c r="H430" s="234" t="str">
        <f>IF(Table1[[#This Row],[Column5]]="","",INDEX(Table2[Column1],MATCH(Table1[[#This Row],[Column5]],Table2[a],0)))</f>
        <v/>
      </c>
      <c r="I430" s="234" t="str">
        <f>IF(Table1[[#This Row],[Column3]]=0,"",CONCATENATE(UPPER(Table1[[#This Row],[Column3]])," ",Table1[[#This Row],[Column4]]))</f>
        <v xml:space="preserve"> </v>
      </c>
      <c r="J430" s="234" t="str">
        <f>IF(Table1[[#This Row],[Column5]]="","",INDEX(Table2[e],IF(Table1[[#This Row],[Column5]]="","",MATCH(Table1[[#This Row],[Column5]],Table2[a],0)),))</f>
        <v/>
      </c>
      <c r="K430" s="234"/>
      <c r="L430" s="234"/>
      <c r="O430" s="234" t="str">
        <f>IF(Table1[[#This Row],[h_Item Description]]="","",INDEX([1]!db[NB PAJAK],MATCH(Table1[[#This Row],[h_Item Description]],[1]!db[kode],0)))</f>
        <v/>
      </c>
      <c r="Q430" s="237"/>
      <c r="R430" s="238"/>
      <c r="S430" s="238"/>
      <c r="T430" s="237" t="str">
        <f>Table1[[#This Row],[h_hargasetelahdiskon]]</f>
        <v/>
      </c>
      <c r="V430" s="234"/>
      <c r="W430" s="234" t="str">
        <f ca="1">IF(Table1[[#This Row],[Column12]]="","",IF(Table1[[#This Row],[//]]="",INDIRECT(ADDRESS(ROW()-1,COLUMN())),Table1[[#This Row],[//]]))</f>
        <v/>
      </c>
      <c r="X430" s="234" t="str">
        <f ca="1">IF(Table1[[#This Row],[h_id]]="","",COUNTIF(Table1[h_id],Table1[[#This Row],[h_id]]))</f>
        <v/>
      </c>
      <c r="Y430" s="237" t="str">
        <f>IF(Table1[[#This Row],[Column12]]="","",Table1[[#This Row],[Qty]]*Table1[[#This Row],[Column13]])</f>
        <v/>
      </c>
      <c r="Z430" s="237" t="str">
        <f>IF(Table1[[#This Row],[h_hargasebelumdiskon]]="","",IF(Table1[[#This Row],[Column14]]="",0,Table1[[#This Row],[h_hargasebelumdiskon]]*Table1[[#This Row],[Column14]]))</f>
        <v/>
      </c>
      <c r="AA430" s="237" t="str">
        <f>IF(Table1[[#This Row],[h_hargasebelumdiskon]]="","",IF(Table1[[#This Row],[Column15]]="",0,(Table1[[#This Row],[h_hargasebelumdiskon]]-Table1[[#This Row],[h_disc 1]])*Table1[[#This Row],[Column15]]))</f>
        <v/>
      </c>
      <c r="AB430" s="237" t="str">
        <f>IF(Table1[[#This Row],[Column12]]="","",Table1[[#This Row],[h_disc 1]]+Table1[[#This Row],[h_disc 2]])</f>
        <v/>
      </c>
      <c r="AC430" s="237" t="str">
        <f>IF(Table1[[#This Row],[Column12]]="","",Table1[[#This Row],[h_hargasebelumdiskon]]-Table1[[#This Row],[h_diskon]])</f>
        <v/>
      </c>
      <c r="AD430" s="237" t="str">
        <f ca="1">IF(Table1[[#This Row],[//]]="","",SUMIF(Table1[h_id],Table1[[#This Row],[h_id]],Table1[h_hargasetelahdiskon]))</f>
        <v/>
      </c>
      <c r="AF430" s="237" t="str">
        <f>Table1[[#This Row],[Column12]]&amp;Table1[[#This Row],[Unit]]&amp;Table1[[#This Row],[Column13]]</f>
        <v/>
      </c>
      <c r="AG430"/>
      <c r="AH430"/>
      <c r="AI430"/>
    </row>
    <row r="431" spans="1:35">
      <c r="A431" s="234" t="str">
        <f ca="1">IF(Table1[[#This Row],[No. Invoice :]]="","",ROW())</f>
        <v/>
      </c>
      <c r="B431" s="234" t="str">
        <f ca="1">IF(Table1[[#This Row],[Column3]]="","",B$1+COUNT(INDIRECT("B$2:B"&amp;ROW()-1)))</f>
        <v/>
      </c>
      <c r="C431" s="235" t="str">
        <f>IF(Table1[[#This Row],[Column2]]="","",Table1[[#This Row],[Column2]]+C$1-1)</f>
        <v/>
      </c>
      <c r="E431" s="236"/>
      <c r="F431" s="234"/>
      <c r="G431" s="234" t="str">
        <f ca="1">IF(Table1[[#This Row],[h_No. Invoice :]]="","",CONCATENATE("AM"," ",Table1[[#This Row],[h_No. Invoice :]]))</f>
        <v/>
      </c>
      <c r="H431" s="234" t="str">
        <f>IF(Table1[[#This Row],[Column5]]="","",INDEX(Table2[Column1],MATCH(Table1[[#This Row],[Column5]],Table2[a],0)))</f>
        <v/>
      </c>
      <c r="I431" s="234" t="str">
        <f>IF(Table1[[#This Row],[Column3]]=0,"",CONCATENATE(UPPER(Table1[[#This Row],[Column3]])," ",Table1[[#This Row],[Column4]]))</f>
        <v xml:space="preserve"> </v>
      </c>
      <c r="J431" s="234" t="str">
        <f>IF(Table1[[#This Row],[Column5]]="","",INDEX(Table2[e],IF(Table1[[#This Row],[Column5]]="","",MATCH(Table1[[#This Row],[Column5]],Table2[a],0)),))</f>
        <v/>
      </c>
      <c r="K431" s="234"/>
      <c r="L431" s="234"/>
      <c r="O431" s="234" t="str">
        <f>IF(Table1[[#This Row],[h_Item Description]]="","",INDEX([1]!db[NB PAJAK],MATCH(Table1[[#This Row],[h_Item Description]],[1]!db[kode],0)))</f>
        <v/>
      </c>
      <c r="Q431" s="237"/>
      <c r="R431" s="238"/>
      <c r="S431" s="238"/>
      <c r="T431" s="237" t="str">
        <f>Table1[[#This Row],[h_hargasetelahdiskon]]</f>
        <v/>
      </c>
      <c r="V431" s="234"/>
      <c r="W431" s="234" t="str">
        <f ca="1">IF(Table1[[#This Row],[Column12]]="","",IF(Table1[[#This Row],[//]]="",INDIRECT(ADDRESS(ROW()-1,COLUMN())),Table1[[#This Row],[//]]))</f>
        <v/>
      </c>
      <c r="X431" s="234" t="str">
        <f ca="1">IF(Table1[[#This Row],[h_id]]="","",COUNTIF(Table1[h_id],Table1[[#This Row],[h_id]]))</f>
        <v/>
      </c>
      <c r="Y431" s="237" t="str">
        <f>IF(Table1[[#This Row],[Column12]]="","",Table1[[#This Row],[Qty]]*Table1[[#This Row],[Column13]])</f>
        <v/>
      </c>
      <c r="Z431" s="237" t="str">
        <f>IF(Table1[[#This Row],[h_hargasebelumdiskon]]="","",IF(Table1[[#This Row],[Column14]]="",0,Table1[[#This Row],[h_hargasebelumdiskon]]*Table1[[#This Row],[Column14]]))</f>
        <v/>
      </c>
      <c r="AA431" s="237" t="str">
        <f>IF(Table1[[#This Row],[h_hargasebelumdiskon]]="","",IF(Table1[[#This Row],[Column15]]="",0,(Table1[[#This Row],[h_hargasebelumdiskon]]-Table1[[#This Row],[h_disc 1]])*Table1[[#This Row],[Column15]]))</f>
        <v/>
      </c>
      <c r="AB431" s="237" t="str">
        <f>IF(Table1[[#This Row],[Column12]]="","",Table1[[#This Row],[h_disc 1]]+Table1[[#This Row],[h_disc 2]])</f>
        <v/>
      </c>
      <c r="AC431" s="237" t="str">
        <f>IF(Table1[[#This Row],[Column12]]="","",Table1[[#This Row],[h_hargasebelumdiskon]]-Table1[[#This Row],[h_diskon]])</f>
        <v/>
      </c>
      <c r="AD431" s="237" t="str">
        <f ca="1">IF(Table1[[#This Row],[//]]="","",SUMIF(Table1[h_id],Table1[[#This Row],[h_id]],Table1[h_hargasetelahdiskon]))</f>
        <v/>
      </c>
      <c r="AF431" s="237" t="str">
        <f>Table1[[#This Row],[Column12]]&amp;Table1[[#This Row],[Unit]]&amp;Table1[[#This Row],[Column13]]</f>
        <v/>
      </c>
      <c r="AG431"/>
      <c r="AH431"/>
      <c r="AI431"/>
    </row>
    <row r="432" spans="1:35">
      <c r="A432" s="234" t="str">
        <f ca="1">IF(Table1[[#This Row],[No. Invoice :]]="","",ROW())</f>
        <v/>
      </c>
      <c r="B432" s="234" t="str">
        <f ca="1">IF(Table1[[#This Row],[Column3]]="","",B$1+COUNT(INDIRECT("B$2:B"&amp;ROW()-1)))</f>
        <v/>
      </c>
      <c r="C432" s="235" t="str">
        <f>IF(Table1[[#This Row],[Column2]]="","",Table1[[#This Row],[Column2]]+C$1-1)</f>
        <v/>
      </c>
      <c r="E432" s="236"/>
      <c r="F432" s="234"/>
      <c r="G432" s="234" t="str">
        <f ca="1">IF(Table1[[#This Row],[h_No. Invoice :]]="","",CONCATENATE("AM"," ",Table1[[#This Row],[h_No. Invoice :]]))</f>
        <v/>
      </c>
      <c r="H432" s="234" t="str">
        <f>IF(Table1[[#This Row],[Column5]]="","",INDEX(Table2[Column1],MATCH(Table1[[#This Row],[Column5]],Table2[a],0)))</f>
        <v/>
      </c>
      <c r="I432" s="234" t="str">
        <f>IF(Table1[[#This Row],[Column3]]=0,"",CONCATENATE(UPPER(Table1[[#This Row],[Column3]])," ",Table1[[#This Row],[Column4]]))</f>
        <v xml:space="preserve"> </v>
      </c>
      <c r="J432" s="234" t="str">
        <f>IF(Table1[[#This Row],[Column5]]="","",INDEX(Table2[e],IF(Table1[[#This Row],[Column5]]="","",MATCH(Table1[[#This Row],[Column5]],Table2[a],0)),))</f>
        <v/>
      </c>
      <c r="K432" s="234"/>
      <c r="L432" s="234"/>
      <c r="O432" s="234" t="str">
        <f>IF(Table1[[#This Row],[h_Item Description]]="","",INDEX([1]!db[NB PAJAK],MATCH(Table1[[#This Row],[h_Item Description]],[1]!db[kode],0)))</f>
        <v/>
      </c>
      <c r="Q432" s="237"/>
      <c r="R432" s="238"/>
      <c r="S432" s="238"/>
      <c r="T432" s="237" t="str">
        <f>Table1[[#This Row],[h_hargasetelahdiskon]]</f>
        <v/>
      </c>
      <c r="V432" s="234"/>
      <c r="W432" s="234" t="str">
        <f ca="1">IF(Table1[[#This Row],[Column12]]="","",IF(Table1[[#This Row],[//]]="",INDIRECT(ADDRESS(ROW()-1,COLUMN())),Table1[[#This Row],[//]]))</f>
        <v/>
      </c>
      <c r="X432" s="234" t="str">
        <f ca="1">IF(Table1[[#This Row],[h_id]]="","",COUNTIF(Table1[h_id],Table1[[#This Row],[h_id]]))</f>
        <v/>
      </c>
      <c r="Y432" s="237" t="str">
        <f>IF(Table1[[#This Row],[Column12]]="","",Table1[[#This Row],[Qty]]*Table1[[#This Row],[Column13]])</f>
        <v/>
      </c>
      <c r="Z432" s="237" t="str">
        <f>IF(Table1[[#This Row],[h_hargasebelumdiskon]]="","",IF(Table1[[#This Row],[Column14]]="",0,Table1[[#This Row],[h_hargasebelumdiskon]]*Table1[[#This Row],[Column14]]))</f>
        <v/>
      </c>
      <c r="AA432" s="237" t="str">
        <f>IF(Table1[[#This Row],[h_hargasebelumdiskon]]="","",IF(Table1[[#This Row],[Column15]]="",0,(Table1[[#This Row],[h_hargasebelumdiskon]]-Table1[[#This Row],[h_disc 1]])*Table1[[#This Row],[Column15]]))</f>
        <v/>
      </c>
      <c r="AB432" s="237" t="str">
        <f>IF(Table1[[#This Row],[Column12]]="","",Table1[[#This Row],[h_disc 1]]+Table1[[#This Row],[h_disc 2]])</f>
        <v/>
      </c>
      <c r="AC432" s="237" t="str">
        <f>IF(Table1[[#This Row],[Column12]]="","",Table1[[#This Row],[h_hargasebelumdiskon]]-Table1[[#This Row],[h_diskon]])</f>
        <v/>
      </c>
      <c r="AD432" s="237" t="str">
        <f ca="1">IF(Table1[[#This Row],[//]]="","",SUMIF(Table1[h_id],Table1[[#This Row],[h_id]],Table1[h_hargasetelahdiskon]))</f>
        <v/>
      </c>
      <c r="AF432" s="237" t="str">
        <f>Table1[[#This Row],[Column12]]&amp;Table1[[#This Row],[Unit]]&amp;Table1[[#This Row],[Column13]]</f>
        <v/>
      </c>
      <c r="AG432"/>
      <c r="AH432"/>
      <c r="AI432"/>
    </row>
    <row r="433" spans="1:35">
      <c r="A433" s="234" t="str">
        <f ca="1">IF(Table1[[#This Row],[No. Invoice :]]="","",ROW())</f>
        <v/>
      </c>
      <c r="B433" s="234" t="str">
        <f ca="1">IF(Table1[[#This Row],[Column3]]="","",B$1+COUNT(INDIRECT("B$2:B"&amp;ROW()-1)))</f>
        <v/>
      </c>
      <c r="C433" s="235" t="str">
        <f>IF(Table1[[#This Row],[Column2]]="","",Table1[[#This Row],[Column2]]+C$1-1)</f>
        <v/>
      </c>
      <c r="E433" s="236"/>
      <c r="F433" s="234"/>
      <c r="G433" s="234" t="str">
        <f ca="1">IF(Table1[[#This Row],[h_No. Invoice :]]="","",CONCATENATE("AM"," ",Table1[[#This Row],[h_No. Invoice :]]))</f>
        <v/>
      </c>
      <c r="H433" s="234" t="str">
        <f>IF(Table1[[#This Row],[Column5]]="","",INDEX(Table2[Column1],MATCH(Table1[[#This Row],[Column5]],Table2[a],0)))</f>
        <v/>
      </c>
      <c r="I433" s="234" t="str">
        <f>IF(Table1[[#This Row],[Column3]]=0,"",CONCATENATE(UPPER(Table1[[#This Row],[Column3]])," ",Table1[[#This Row],[Column4]]))</f>
        <v xml:space="preserve"> </v>
      </c>
      <c r="J433" s="234" t="str">
        <f>IF(Table1[[#This Row],[Column5]]="","",INDEX(Table2[e],IF(Table1[[#This Row],[Column5]]="","",MATCH(Table1[[#This Row],[Column5]],Table2[a],0)),))</f>
        <v/>
      </c>
      <c r="K433" s="234"/>
      <c r="L433" s="234"/>
      <c r="O433" s="234" t="str">
        <f>IF(Table1[[#This Row],[h_Item Description]]="","",INDEX([1]!db[NB PAJAK],MATCH(Table1[[#This Row],[h_Item Description]],[1]!db[kode],0)))</f>
        <v/>
      </c>
      <c r="Q433" s="237"/>
      <c r="R433" s="238"/>
      <c r="S433" s="238"/>
      <c r="T433" s="237" t="str">
        <f>Table1[[#This Row],[h_hargasetelahdiskon]]</f>
        <v/>
      </c>
      <c r="V433" s="234"/>
      <c r="W433" s="234" t="str">
        <f ca="1">IF(Table1[[#This Row],[Column12]]="","",IF(Table1[[#This Row],[//]]="",INDIRECT(ADDRESS(ROW()-1,COLUMN())),Table1[[#This Row],[//]]))</f>
        <v/>
      </c>
      <c r="X433" s="234" t="str">
        <f ca="1">IF(Table1[[#This Row],[h_id]]="","",COUNTIF(Table1[h_id],Table1[[#This Row],[h_id]]))</f>
        <v/>
      </c>
      <c r="Y433" s="237" t="str">
        <f>IF(Table1[[#This Row],[Column12]]="","",Table1[[#This Row],[Qty]]*Table1[[#This Row],[Column13]])</f>
        <v/>
      </c>
      <c r="Z433" s="237" t="str">
        <f>IF(Table1[[#This Row],[h_hargasebelumdiskon]]="","",IF(Table1[[#This Row],[Column14]]="",0,Table1[[#This Row],[h_hargasebelumdiskon]]*Table1[[#This Row],[Column14]]))</f>
        <v/>
      </c>
      <c r="AA433" s="237" t="str">
        <f>IF(Table1[[#This Row],[h_hargasebelumdiskon]]="","",IF(Table1[[#This Row],[Column15]]="",0,(Table1[[#This Row],[h_hargasebelumdiskon]]-Table1[[#This Row],[h_disc 1]])*Table1[[#This Row],[Column15]]))</f>
        <v/>
      </c>
      <c r="AB433" s="237" t="str">
        <f>IF(Table1[[#This Row],[Column12]]="","",Table1[[#This Row],[h_disc 1]]+Table1[[#This Row],[h_disc 2]])</f>
        <v/>
      </c>
      <c r="AC433" s="237" t="str">
        <f>IF(Table1[[#This Row],[Column12]]="","",Table1[[#This Row],[h_hargasebelumdiskon]]-Table1[[#This Row],[h_diskon]])</f>
        <v/>
      </c>
      <c r="AD433" s="237" t="str">
        <f ca="1">IF(Table1[[#This Row],[//]]="","",SUMIF(Table1[h_id],Table1[[#This Row],[h_id]],Table1[h_hargasetelahdiskon]))</f>
        <v/>
      </c>
      <c r="AF433" s="237" t="str">
        <f>Table1[[#This Row],[Column12]]&amp;Table1[[#This Row],[Unit]]&amp;Table1[[#This Row],[Column13]]</f>
        <v/>
      </c>
      <c r="AG433"/>
      <c r="AH433"/>
      <c r="AI433"/>
    </row>
    <row r="434" spans="1:35">
      <c r="A434" s="234" t="str">
        <f ca="1">IF(Table1[[#This Row],[No. Invoice :]]="","",ROW())</f>
        <v/>
      </c>
      <c r="B434" s="234" t="str">
        <f ca="1">IF(Table1[[#This Row],[Column3]]="","",B$1+COUNT(INDIRECT("B$2:B"&amp;ROW()-1)))</f>
        <v/>
      </c>
      <c r="C434" s="235" t="str">
        <f>IF(Table1[[#This Row],[Column2]]="","",Table1[[#This Row],[Column2]]+C$1-1)</f>
        <v/>
      </c>
      <c r="E434" s="236"/>
      <c r="F434" s="234"/>
      <c r="G434" s="234" t="str">
        <f ca="1">IF(Table1[[#This Row],[h_No. Invoice :]]="","",CONCATENATE("AM"," ",Table1[[#This Row],[h_No. Invoice :]]))</f>
        <v/>
      </c>
      <c r="H434" s="234" t="str">
        <f>IF(Table1[[#This Row],[Column5]]="","",INDEX(Table2[Column1],MATCH(Table1[[#This Row],[Column5]],Table2[a],0)))</f>
        <v/>
      </c>
      <c r="I434" s="234" t="str">
        <f>IF(Table1[[#This Row],[Column3]]=0,"",CONCATENATE(UPPER(Table1[[#This Row],[Column3]])," ",Table1[[#This Row],[Column4]]))</f>
        <v xml:space="preserve"> </v>
      </c>
      <c r="J434" s="234" t="str">
        <f>IF(Table1[[#This Row],[Column5]]="","",INDEX(Table2[e],IF(Table1[[#This Row],[Column5]]="","",MATCH(Table1[[#This Row],[Column5]],Table2[a],0)),))</f>
        <v/>
      </c>
      <c r="K434" s="234"/>
      <c r="L434" s="234"/>
      <c r="O434" s="234" t="str">
        <f>IF(Table1[[#This Row],[h_Item Description]]="","",INDEX([1]!db[NB PAJAK],MATCH(Table1[[#This Row],[h_Item Description]],[1]!db[kode],0)))</f>
        <v/>
      </c>
      <c r="Q434" s="237"/>
      <c r="R434" s="238"/>
      <c r="S434" s="238"/>
      <c r="T434" s="237" t="str">
        <f>Table1[[#This Row],[h_hargasetelahdiskon]]</f>
        <v/>
      </c>
      <c r="V434" s="234"/>
      <c r="W434" s="234" t="str">
        <f ca="1">IF(Table1[[#This Row],[Column12]]="","",IF(Table1[[#This Row],[//]]="",INDIRECT(ADDRESS(ROW()-1,COLUMN())),Table1[[#This Row],[//]]))</f>
        <v/>
      </c>
      <c r="X434" s="234" t="str">
        <f ca="1">IF(Table1[[#This Row],[h_id]]="","",COUNTIF(Table1[h_id],Table1[[#This Row],[h_id]]))</f>
        <v/>
      </c>
      <c r="Y434" s="237" t="str">
        <f>IF(Table1[[#This Row],[Column12]]="","",Table1[[#This Row],[Qty]]*Table1[[#This Row],[Column13]])</f>
        <v/>
      </c>
      <c r="Z434" s="237" t="str">
        <f>IF(Table1[[#This Row],[h_hargasebelumdiskon]]="","",IF(Table1[[#This Row],[Column14]]="",0,Table1[[#This Row],[h_hargasebelumdiskon]]*Table1[[#This Row],[Column14]]))</f>
        <v/>
      </c>
      <c r="AA434" s="237" t="str">
        <f>IF(Table1[[#This Row],[h_hargasebelumdiskon]]="","",IF(Table1[[#This Row],[Column15]]="",0,(Table1[[#This Row],[h_hargasebelumdiskon]]-Table1[[#This Row],[h_disc 1]])*Table1[[#This Row],[Column15]]))</f>
        <v/>
      </c>
      <c r="AB434" s="237" t="str">
        <f>IF(Table1[[#This Row],[Column12]]="","",Table1[[#This Row],[h_disc 1]]+Table1[[#This Row],[h_disc 2]])</f>
        <v/>
      </c>
      <c r="AC434" s="237" t="str">
        <f>IF(Table1[[#This Row],[Column12]]="","",Table1[[#This Row],[h_hargasebelumdiskon]]-Table1[[#This Row],[h_diskon]])</f>
        <v/>
      </c>
      <c r="AD434" s="237" t="str">
        <f ca="1">IF(Table1[[#This Row],[//]]="","",SUMIF(Table1[h_id],Table1[[#This Row],[h_id]],Table1[h_hargasetelahdiskon]))</f>
        <v/>
      </c>
      <c r="AF434" s="237" t="str">
        <f>Table1[[#This Row],[Column12]]&amp;Table1[[#This Row],[Unit]]&amp;Table1[[#This Row],[Column13]]</f>
        <v/>
      </c>
      <c r="AG434"/>
      <c r="AH434"/>
      <c r="AI434"/>
    </row>
    <row r="435" spans="1:35">
      <c r="A435" s="234" t="str">
        <f ca="1">IF(Table1[[#This Row],[No. Invoice :]]="","",ROW())</f>
        <v/>
      </c>
      <c r="B435" s="234" t="str">
        <f ca="1">IF(Table1[[#This Row],[Column3]]="","",B$1+COUNT(INDIRECT("B$2:B"&amp;ROW()-1)))</f>
        <v/>
      </c>
      <c r="C435" s="235" t="str">
        <f>IF(Table1[[#This Row],[Column2]]="","",Table1[[#This Row],[Column2]]+C$1-1)</f>
        <v/>
      </c>
      <c r="E435" s="236"/>
      <c r="F435" s="234"/>
      <c r="G435" s="234" t="str">
        <f ca="1">IF(Table1[[#This Row],[h_No. Invoice :]]="","",CONCATENATE("AM"," ",Table1[[#This Row],[h_No. Invoice :]]))</f>
        <v/>
      </c>
      <c r="H435" s="234" t="str">
        <f>IF(Table1[[#This Row],[Column5]]="","",INDEX(Table2[Column1],MATCH(Table1[[#This Row],[Column5]],Table2[a],0)))</f>
        <v/>
      </c>
      <c r="I435" s="234" t="str">
        <f>IF(Table1[[#This Row],[Column3]]=0,"",CONCATENATE(UPPER(Table1[[#This Row],[Column3]])," ",Table1[[#This Row],[Column4]]))</f>
        <v xml:space="preserve"> </v>
      </c>
      <c r="J435" s="234" t="str">
        <f>IF(Table1[[#This Row],[Column5]]="","",INDEX(Table2[e],IF(Table1[[#This Row],[Column5]]="","",MATCH(Table1[[#This Row],[Column5]],Table2[a],0)),))</f>
        <v/>
      </c>
      <c r="K435" s="234"/>
      <c r="L435" s="234"/>
      <c r="O435" s="234" t="str">
        <f>IF(Table1[[#This Row],[h_Item Description]]="","",INDEX([1]!db[NB PAJAK],MATCH(Table1[[#This Row],[h_Item Description]],[1]!db[kode],0)))</f>
        <v/>
      </c>
      <c r="Q435" s="237"/>
      <c r="R435" s="238"/>
      <c r="S435" s="238"/>
      <c r="T435" s="237" t="str">
        <f>Table1[[#This Row],[h_hargasetelahdiskon]]</f>
        <v/>
      </c>
      <c r="V435" s="234"/>
      <c r="W435" s="234" t="str">
        <f ca="1">IF(Table1[[#This Row],[Column12]]="","",IF(Table1[[#This Row],[//]]="",INDIRECT(ADDRESS(ROW()-1,COLUMN())),Table1[[#This Row],[//]]))</f>
        <v/>
      </c>
      <c r="X435" s="234" t="str">
        <f ca="1">IF(Table1[[#This Row],[h_id]]="","",COUNTIF(Table1[h_id],Table1[[#This Row],[h_id]]))</f>
        <v/>
      </c>
      <c r="Y435" s="237" t="str">
        <f>IF(Table1[[#This Row],[Column12]]="","",Table1[[#This Row],[Qty]]*Table1[[#This Row],[Column13]])</f>
        <v/>
      </c>
      <c r="Z435" s="237" t="str">
        <f>IF(Table1[[#This Row],[h_hargasebelumdiskon]]="","",IF(Table1[[#This Row],[Column14]]="",0,Table1[[#This Row],[h_hargasebelumdiskon]]*Table1[[#This Row],[Column14]]))</f>
        <v/>
      </c>
      <c r="AA435" s="237" t="str">
        <f>IF(Table1[[#This Row],[h_hargasebelumdiskon]]="","",IF(Table1[[#This Row],[Column15]]="",0,(Table1[[#This Row],[h_hargasebelumdiskon]]-Table1[[#This Row],[h_disc 1]])*Table1[[#This Row],[Column15]]))</f>
        <v/>
      </c>
      <c r="AB435" s="237" t="str">
        <f>IF(Table1[[#This Row],[Column12]]="","",Table1[[#This Row],[h_disc 1]]+Table1[[#This Row],[h_disc 2]])</f>
        <v/>
      </c>
      <c r="AC435" s="237" t="str">
        <f>IF(Table1[[#This Row],[Column12]]="","",Table1[[#This Row],[h_hargasebelumdiskon]]-Table1[[#This Row],[h_diskon]])</f>
        <v/>
      </c>
      <c r="AD435" s="237" t="str">
        <f ca="1">IF(Table1[[#This Row],[//]]="","",SUMIF(Table1[h_id],Table1[[#This Row],[h_id]],Table1[h_hargasetelahdiskon]))</f>
        <v/>
      </c>
      <c r="AF435" s="237" t="str">
        <f>Table1[[#This Row],[Column12]]&amp;Table1[[#This Row],[Unit]]&amp;Table1[[#This Row],[Column13]]</f>
        <v/>
      </c>
      <c r="AG435"/>
      <c r="AH435"/>
      <c r="AI435"/>
    </row>
    <row r="436" spans="1:35">
      <c r="A436" s="234" t="str">
        <f ca="1">IF(Table1[[#This Row],[No. Invoice :]]="","",ROW())</f>
        <v/>
      </c>
      <c r="B436" s="234" t="str">
        <f ca="1">IF(Table1[[#This Row],[Column3]]="","",B$1+COUNT(INDIRECT("B$2:B"&amp;ROW()-1)))</f>
        <v/>
      </c>
      <c r="C436" s="235" t="str">
        <f>IF(Table1[[#This Row],[Column2]]="","",Table1[[#This Row],[Column2]]+C$1-1)</f>
        <v/>
      </c>
      <c r="E436" s="236"/>
      <c r="F436" s="234"/>
      <c r="G436" s="234" t="str">
        <f ca="1">IF(Table1[[#This Row],[h_No. Invoice :]]="","",CONCATENATE("AM"," ",Table1[[#This Row],[h_No. Invoice :]]))</f>
        <v/>
      </c>
      <c r="H436" s="234" t="str">
        <f>IF(Table1[[#This Row],[Column5]]="","",INDEX(Table2[Column1],MATCH(Table1[[#This Row],[Column5]],Table2[a],0)))</f>
        <v/>
      </c>
      <c r="I436" s="234" t="str">
        <f>IF(Table1[[#This Row],[Column3]]=0,"",CONCATENATE(UPPER(Table1[[#This Row],[Column3]])," ",Table1[[#This Row],[Column4]]))</f>
        <v xml:space="preserve"> </v>
      </c>
      <c r="J436" s="234" t="str">
        <f>IF(Table1[[#This Row],[Column5]]="","",INDEX(Table2[e],IF(Table1[[#This Row],[Column5]]="","",MATCH(Table1[[#This Row],[Column5]],Table2[a],0)),))</f>
        <v/>
      </c>
      <c r="K436" s="234"/>
      <c r="L436" s="234"/>
      <c r="O436" s="234" t="str">
        <f>IF(Table1[[#This Row],[h_Item Description]]="","",INDEX([1]!db[NB PAJAK],MATCH(Table1[[#This Row],[h_Item Description]],[1]!db[kode],0)))</f>
        <v/>
      </c>
      <c r="Q436" s="237"/>
      <c r="R436" s="238"/>
      <c r="S436" s="238"/>
      <c r="T436" s="237" t="str">
        <f>Table1[[#This Row],[h_hargasetelahdiskon]]</f>
        <v/>
      </c>
      <c r="V436" s="234"/>
      <c r="W436" s="234" t="str">
        <f ca="1">IF(Table1[[#This Row],[Column12]]="","",IF(Table1[[#This Row],[//]]="",INDIRECT(ADDRESS(ROW()-1,COLUMN())),Table1[[#This Row],[//]]))</f>
        <v/>
      </c>
      <c r="X436" s="234" t="str">
        <f ca="1">IF(Table1[[#This Row],[h_id]]="","",COUNTIF(Table1[h_id],Table1[[#This Row],[h_id]]))</f>
        <v/>
      </c>
      <c r="Y436" s="237" t="str">
        <f>IF(Table1[[#This Row],[Column12]]="","",Table1[[#This Row],[Qty]]*Table1[[#This Row],[Column13]])</f>
        <v/>
      </c>
      <c r="Z436" s="237" t="str">
        <f>IF(Table1[[#This Row],[h_hargasebelumdiskon]]="","",IF(Table1[[#This Row],[Column14]]="",0,Table1[[#This Row],[h_hargasebelumdiskon]]*Table1[[#This Row],[Column14]]))</f>
        <v/>
      </c>
      <c r="AA436" s="237" t="str">
        <f>IF(Table1[[#This Row],[h_hargasebelumdiskon]]="","",IF(Table1[[#This Row],[Column15]]="",0,(Table1[[#This Row],[h_hargasebelumdiskon]]-Table1[[#This Row],[h_disc 1]])*Table1[[#This Row],[Column15]]))</f>
        <v/>
      </c>
      <c r="AB436" s="237" t="str">
        <f>IF(Table1[[#This Row],[Column12]]="","",Table1[[#This Row],[h_disc 1]]+Table1[[#This Row],[h_disc 2]])</f>
        <v/>
      </c>
      <c r="AC436" s="237" t="str">
        <f>IF(Table1[[#This Row],[Column12]]="","",Table1[[#This Row],[h_hargasebelumdiskon]]-Table1[[#This Row],[h_diskon]])</f>
        <v/>
      </c>
      <c r="AD436" s="237" t="str">
        <f ca="1">IF(Table1[[#This Row],[//]]="","",SUMIF(Table1[h_id],Table1[[#This Row],[h_id]],Table1[h_hargasetelahdiskon]))</f>
        <v/>
      </c>
      <c r="AF436" s="237" t="str">
        <f>Table1[[#This Row],[Column12]]&amp;Table1[[#This Row],[Unit]]&amp;Table1[[#This Row],[Column13]]</f>
        <v/>
      </c>
      <c r="AG436"/>
      <c r="AH436"/>
      <c r="AI436"/>
    </row>
    <row r="437" spans="1:35">
      <c r="A437" s="234" t="str">
        <f ca="1">IF(Table1[[#This Row],[No. Invoice :]]="","",ROW())</f>
        <v/>
      </c>
      <c r="B437" s="234" t="str">
        <f ca="1">IF(Table1[[#This Row],[Column3]]="","",B$1+COUNT(INDIRECT("B$2:B"&amp;ROW()-1)))</f>
        <v/>
      </c>
      <c r="C437" s="235" t="str">
        <f>IF(Table1[[#This Row],[Column2]]="","",Table1[[#This Row],[Column2]]+C$1-1)</f>
        <v/>
      </c>
      <c r="E437" s="236"/>
      <c r="F437" s="234"/>
      <c r="G437" s="234" t="str">
        <f ca="1">IF(Table1[[#This Row],[h_No. Invoice :]]="","",CONCATENATE("AM"," ",Table1[[#This Row],[h_No. Invoice :]]))</f>
        <v/>
      </c>
      <c r="H437" s="234" t="str">
        <f>IF(Table1[[#This Row],[Column5]]="","",INDEX(Table2[Column1],MATCH(Table1[[#This Row],[Column5]],Table2[a],0)))</f>
        <v/>
      </c>
      <c r="I437" s="234" t="str">
        <f>IF(Table1[[#This Row],[Column3]]=0,"",CONCATENATE(UPPER(Table1[[#This Row],[Column3]])," ",Table1[[#This Row],[Column4]]))</f>
        <v xml:space="preserve"> </v>
      </c>
      <c r="J437" s="234" t="str">
        <f>IF(Table1[[#This Row],[Column5]]="","",INDEX(Table2[e],IF(Table1[[#This Row],[Column5]]="","",MATCH(Table1[[#This Row],[Column5]],Table2[a],0)),))</f>
        <v/>
      </c>
      <c r="K437" s="234"/>
      <c r="L437" s="234"/>
      <c r="O437" s="234" t="str">
        <f>IF(Table1[[#This Row],[h_Item Description]]="","",INDEX([1]!db[NB PAJAK],MATCH(Table1[[#This Row],[h_Item Description]],[1]!db[kode],0)))</f>
        <v/>
      </c>
      <c r="Q437" s="237"/>
      <c r="R437" s="238"/>
      <c r="S437" s="238"/>
      <c r="T437" s="237" t="str">
        <f>Table1[[#This Row],[h_hargasetelahdiskon]]</f>
        <v/>
      </c>
      <c r="V437" s="234"/>
      <c r="W437" s="234" t="str">
        <f ca="1">IF(Table1[[#This Row],[Column12]]="","",IF(Table1[[#This Row],[//]]="",INDIRECT(ADDRESS(ROW()-1,COLUMN())),Table1[[#This Row],[//]]))</f>
        <v/>
      </c>
      <c r="X437" s="234" t="str">
        <f ca="1">IF(Table1[[#This Row],[h_id]]="","",COUNTIF(Table1[h_id],Table1[[#This Row],[h_id]]))</f>
        <v/>
      </c>
      <c r="Y437" s="237" t="str">
        <f>IF(Table1[[#This Row],[Column12]]="","",Table1[[#This Row],[Qty]]*Table1[[#This Row],[Column13]])</f>
        <v/>
      </c>
      <c r="Z437" s="237" t="str">
        <f>IF(Table1[[#This Row],[h_hargasebelumdiskon]]="","",IF(Table1[[#This Row],[Column14]]="",0,Table1[[#This Row],[h_hargasebelumdiskon]]*Table1[[#This Row],[Column14]]))</f>
        <v/>
      </c>
      <c r="AA437" s="237" t="str">
        <f>IF(Table1[[#This Row],[h_hargasebelumdiskon]]="","",IF(Table1[[#This Row],[Column15]]="",0,(Table1[[#This Row],[h_hargasebelumdiskon]]-Table1[[#This Row],[h_disc 1]])*Table1[[#This Row],[Column15]]))</f>
        <v/>
      </c>
      <c r="AB437" s="237" t="str">
        <f>IF(Table1[[#This Row],[Column12]]="","",Table1[[#This Row],[h_disc 1]]+Table1[[#This Row],[h_disc 2]])</f>
        <v/>
      </c>
      <c r="AC437" s="237" t="str">
        <f>IF(Table1[[#This Row],[Column12]]="","",Table1[[#This Row],[h_hargasebelumdiskon]]-Table1[[#This Row],[h_diskon]])</f>
        <v/>
      </c>
      <c r="AD437" s="237" t="str">
        <f ca="1">IF(Table1[[#This Row],[//]]="","",SUMIF(Table1[h_id],Table1[[#This Row],[h_id]],Table1[h_hargasetelahdiskon]))</f>
        <v/>
      </c>
      <c r="AF437" s="237" t="str">
        <f>Table1[[#This Row],[Column12]]&amp;Table1[[#This Row],[Unit]]&amp;Table1[[#This Row],[Column13]]</f>
        <v/>
      </c>
      <c r="AG437"/>
      <c r="AH437"/>
      <c r="AI437"/>
    </row>
    <row r="438" spans="1:35">
      <c r="A438" s="234" t="str">
        <f ca="1">IF(Table1[[#This Row],[No. Invoice :]]="","",ROW())</f>
        <v/>
      </c>
      <c r="B438" s="234" t="str">
        <f ca="1">IF(Table1[[#This Row],[Column3]]="","",B$1+COUNT(INDIRECT("B$2:B"&amp;ROW()-1)))</f>
        <v/>
      </c>
      <c r="C438" s="235" t="str">
        <f>IF(Table1[[#This Row],[Column2]]="","",Table1[[#This Row],[Column2]]+C$1-1)</f>
        <v/>
      </c>
      <c r="E438" s="236"/>
      <c r="F438" s="234"/>
      <c r="G438" s="234" t="str">
        <f ca="1">IF(Table1[[#This Row],[h_No. Invoice :]]="","",CONCATENATE("AM"," ",Table1[[#This Row],[h_No. Invoice :]]))</f>
        <v/>
      </c>
      <c r="H438" s="234" t="str">
        <f>IF(Table1[[#This Row],[Column5]]="","",INDEX(Table2[Column1],MATCH(Table1[[#This Row],[Column5]],Table2[a],0)))</f>
        <v/>
      </c>
      <c r="I438" s="234" t="str">
        <f>IF(Table1[[#This Row],[Column3]]=0,"",CONCATENATE(UPPER(Table1[[#This Row],[Column3]])," ",Table1[[#This Row],[Column4]]))</f>
        <v xml:space="preserve"> </v>
      </c>
      <c r="J438" s="234" t="str">
        <f>IF(Table1[[#This Row],[Column5]]="","",INDEX(Table2[e],IF(Table1[[#This Row],[Column5]]="","",MATCH(Table1[[#This Row],[Column5]],Table2[a],0)),))</f>
        <v/>
      </c>
      <c r="K438" s="234"/>
      <c r="L438" s="234"/>
      <c r="O438" s="234" t="str">
        <f>IF(Table1[[#This Row],[h_Item Description]]="","",INDEX([1]!db[NB PAJAK],MATCH(Table1[[#This Row],[h_Item Description]],[1]!db[kode],0)))</f>
        <v/>
      </c>
      <c r="Q438" s="237"/>
      <c r="R438" s="238"/>
      <c r="S438" s="238"/>
      <c r="T438" s="237" t="str">
        <f>Table1[[#This Row],[h_hargasetelahdiskon]]</f>
        <v/>
      </c>
      <c r="V438" s="234"/>
      <c r="W438" s="234" t="str">
        <f ca="1">IF(Table1[[#This Row],[Column12]]="","",IF(Table1[[#This Row],[//]]="",INDIRECT(ADDRESS(ROW()-1,COLUMN())),Table1[[#This Row],[//]]))</f>
        <v/>
      </c>
      <c r="X438" s="234" t="str">
        <f ca="1">IF(Table1[[#This Row],[h_id]]="","",COUNTIF(Table1[h_id],Table1[[#This Row],[h_id]]))</f>
        <v/>
      </c>
      <c r="Y438" s="237" t="str">
        <f>IF(Table1[[#This Row],[Column12]]="","",Table1[[#This Row],[Qty]]*Table1[[#This Row],[Column13]])</f>
        <v/>
      </c>
      <c r="Z438" s="237" t="str">
        <f>IF(Table1[[#This Row],[h_hargasebelumdiskon]]="","",IF(Table1[[#This Row],[Column14]]="",0,Table1[[#This Row],[h_hargasebelumdiskon]]*Table1[[#This Row],[Column14]]))</f>
        <v/>
      </c>
      <c r="AA438" s="237" t="str">
        <f>IF(Table1[[#This Row],[h_hargasebelumdiskon]]="","",IF(Table1[[#This Row],[Column15]]="",0,(Table1[[#This Row],[h_hargasebelumdiskon]]-Table1[[#This Row],[h_disc 1]])*Table1[[#This Row],[Column15]]))</f>
        <v/>
      </c>
      <c r="AB438" s="237" t="str">
        <f>IF(Table1[[#This Row],[Column12]]="","",Table1[[#This Row],[h_disc 1]]+Table1[[#This Row],[h_disc 2]])</f>
        <v/>
      </c>
      <c r="AC438" s="237" t="str">
        <f>IF(Table1[[#This Row],[Column12]]="","",Table1[[#This Row],[h_hargasebelumdiskon]]-Table1[[#This Row],[h_diskon]])</f>
        <v/>
      </c>
      <c r="AD438" s="237" t="str">
        <f ca="1">IF(Table1[[#This Row],[//]]="","",SUMIF(Table1[h_id],Table1[[#This Row],[h_id]],Table1[h_hargasetelahdiskon]))</f>
        <v/>
      </c>
      <c r="AF438" s="237" t="str">
        <f>Table1[[#This Row],[Column12]]&amp;Table1[[#This Row],[Unit]]&amp;Table1[[#This Row],[Column13]]</f>
        <v/>
      </c>
      <c r="AG438"/>
      <c r="AH438"/>
      <c r="AI438"/>
    </row>
    <row r="439" spans="1:35">
      <c r="A439" s="234" t="str">
        <f ca="1">IF(Table1[[#This Row],[No. Invoice :]]="","",ROW())</f>
        <v/>
      </c>
      <c r="B439" s="234" t="str">
        <f ca="1">IF(Table1[[#This Row],[Column3]]="","",B$1+COUNT(INDIRECT("B$2:B"&amp;ROW()-1)))</f>
        <v/>
      </c>
      <c r="C439" s="235" t="str">
        <f>IF(Table1[[#This Row],[Column2]]="","",Table1[[#This Row],[Column2]]+C$1-1)</f>
        <v/>
      </c>
      <c r="E439" s="236"/>
      <c r="F439" s="234"/>
      <c r="G439" s="234" t="str">
        <f ca="1">IF(Table1[[#This Row],[h_No. Invoice :]]="","",CONCATENATE("AM"," ",Table1[[#This Row],[h_No. Invoice :]]))</f>
        <v/>
      </c>
      <c r="H439" s="234" t="str">
        <f>IF(Table1[[#This Row],[Column5]]="","",INDEX(Table2[Column1],MATCH(Table1[[#This Row],[Column5]],Table2[a],0)))</f>
        <v/>
      </c>
      <c r="I439" s="234" t="str">
        <f>IF(Table1[[#This Row],[Column3]]=0,"",CONCATENATE(UPPER(Table1[[#This Row],[Column3]])," ",Table1[[#This Row],[Column4]]))</f>
        <v xml:space="preserve"> </v>
      </c>
      <c r="J439" s="234" t="str">
        <f>IF(Table1[[#This Row],[Column5]]="","",INDEX(Table2[e],IF(Table1[[#This Row],[Column5]]="","",MATCH(Table1[[#This Row],[Column5]],Table2[a],0)),))</f>
        <v/>
      </c>
      <c r="K439" s="234"/>
      <c r="L439" s="234"/>
      <c r="O439" s="234" t="str">
        <f>IF(Table1[[#This Row],[h_Item Description]]="","",INDEX([1]!db[NB PAJAK],MATCH(Table1[[#This Row],[h_Item Description]],[1]!db[kode],0)))</f>
        <v/>
      </c>
      <c r="Q439" s="237"/>
      <c r="R439" s="238"/>
      <c r="S439" s="238"/>
      <c r="T439" s="237" t="str">
        <f>Table1[[#This Row],[h_hargasetelahdiskon]]</f>
        <v/>
      </c>
      <c r="V439" s="234"/>
      <c r="W439" s="234" t="str">
        <f ca="1">IF(Table1[[#This Row],[Column12]]="","",IF(Table1[[#This Row],[//]]="",INDIRECT(ADDRESS(ROW()-1,COLUMN())),Table1[[#This Row],[//]]))</f>
        <v/>
      </c>
      <c r="X439" s="234" t="str">
        <f ca="1">IF(Table1[[#This Row],[h_id]]="","",COUNTIF(Table1[h_id],Table1[[#This Row],[h_id]]))</f>
        <v/>
      </c>
      <c r="Y439" s="237" t="str">
        <f>IF(Table1[[#This Row],[Column12]]="","",Table1[[#This Row],[Qty]]*Table1[[#This Row],[Column13]])</f>
        <v/>
      </c>
      <c r="Z439" s="237" t="str">
        <f>IF(Table1[[#This Row],[h_hargasebelumdiskon]]="","",IF(Table1[[#This Row],[Column14]]="",0,Table1[[#This Row],[h_hargasebelumdiskon]]*Table1[[#This Row],[Column14]]))</f>
        <v/>
      </c>
      <c r="AA439" s="237" t="str">
        <f>IF(Table1[[#This Row],[h_hargasebelumdiskon]]="","",IF(Table1[[#This Row],[Column15]]="",0,(Table1[[#This Row],[h_hargasebelumdiskon]]-Table1[[#This Row],[h_disc 1]])*Table1[[#This Row],[Column15]]))</f>
        <v/>
      </c>
      <c r="AB439" s="237" t="str">
        <f>IF(Table1[[#This Row],[Column12]]="","",Table1[[#This Row],[h_disc 1]]+Table1[[#This Row],[h_disc 2]])</f>
        <v/>
      </c>
      <c r="AC439" s="237" t="str">
        <f>IF(Table1[[#This Row],[Column12]]="","",Table1[[#This Row],[h_hargasebelumdiskon]]-Table1[[#This Row],[h_diskon]])</f>
        <v/>
      </c>
      <c r="AD439" s="237" t="str">
        <f ca="1">IF(Table1[[#This Row],[//]]="","",SUMIF(Table1[h_id],Table1[[#This Row],[h_id]],Table1[h_hargasetelahdiskon]))</f>
        <v/>
      </c>
      <c r="AF439" s="237" t="str">
        <f>Table1[[#This Row],[Column12]]&amp;Table1[[#This Row],[Unit]]&amp;Table1[[#This Row],[Column13]]</f>
        <v/>
      </c>
      <c r="AG439"/>
      <c r="AH439"/>
      <c r="AI439"/>
    </row>
    <row r="440" spans="1:35">
      <c r="A440" s="234" t="str">
        <f ca="1">IF(Table1[[#This Row],[No. Invoice :]]="","",ROW())</f>
        <v/>
      </c>
      <c r="B440" s="234" t="str">
        <f ca="1">IF(Table1[[#This Row],[Column3]]="","",B$1+COUNT(INDIRECT("B$2:B"&amp;ROW()-1)))</f>
        <v/>
      </c>
      <c r="C440" s="235" t="str">
        <f>IF(Table1[[#This Row],[Column2]]="","",Table1[[#This Row],[Column2]]+C$1-1)</f>
        <v/>
      </c>
      <c r="E440" s="236"/>
      <c r="F440" s="234"/>
      <c r="G440" s="234" t="str">
        <f ca="1">IF(Table1[[#This Row],[h_No. Invoice :]]="","",CONCATENATE("AM"," ",Table1[[#This Row],[h_No. Invoice :]]))</f>
        <v/>
      </c>
      <c r="H440" s="234" t="str">
        <f>IF(Table1[[#This Row],[Column5]]="","",INDEX(Table2[Column1],MATCH(Table1[[#This Row],[Column5]],Table2[a],0)))</f>
        <v/>
      </c>
      <c r="I440" s="234" t="str">
        <f>IF(Table1[[#This Row],[Column3]]=0,"",CONCATENATE(UPPER(Table1[[#This Row],[Column3]])," ",Table1[[#This Row],[Column4]]))</f>
        <v xml:space="preserve"> </v>
      </c>
      <c r="J440" s="234" t="str">
        <f>IF(Table1[[#This Row],[Column5]]="","",INDEX(Table2[e],IF(Table1[[#This Row],[Column5]]="","",MATCH(Table1[[#This Row],[Column5]],Table2[a],0)),))</f>
        <v/>
      </c>
      <c r="K440" s="234"/>
      <c r="L440" s="234"/>
      <c r="O440" s="234" t="str">
        <f>IF(Table1[[#This Row],[h_Item Description]]="","",INDEX([1]!db[NB PAJAK],MATCH(Table1[[#This Row],[h_Item Description]],[1]!db[kode],0)))</f>
        <v/>
      </c>
      <c r="Q440" s="237"/>
      <c r="R440" s="238"/>
      <c r="S440" s="238"/>
      <c r="T440" s="237" t="str">
        <f>Table1[[#This Row],[h_hargasetelahdiskon]]</f>
        <v/>
      </c>
      <c r="V440" s="234"/>
      <c r="W440" s="234" t="str">
        <f ca="1">IF(Table1[[#This Row],[Column12]]="","",IF(Table1[[#This Row],[//]]="",INDIRECT(ADDRESS(ROW()-1,COLUMN())),Table1[[#This Row],[//]]))</f>
        <v/>
      </c>
      <c r="X440" s="234" t="str">
        <f ca="1">IF(Table1[[#This Row],[h_id]]="","",COUNTIF(Table1[h_id],Table1[[#This Row],[h_id]]))</f>
        <v/>
      </c>
      <c r="Y440" s="237" t="str">
        <f>IF(Table1[[#This Row],[Column12]]="","",Table1[[#This Row],[Qty]]*Table1[[#This Row],[Column13]])</f>
        <v/>
      </c>
      <c r="Z440" s="237" t="str">
        <f>IF(Table1[[#This Row],[h_hargasebelumdiskon]]="","",IF(Table1[[#This Row],[Column14]]="",0,Table1[[#This Row],[h_hargasebelumdiskon]]*Table1[[#This Row],[Column14]]))</f>
        <v/>
      </c>
      <c r="AA440" s="237" t="str">
        <f>IF(Table1[[#This Row],[h_hargasebelumdiskon]]="","",IF(Table1[[#This Row],[Column15]]="",0,(Table1[[#This Row],[h_hargasebelumdiskon]]-Table1[[#This Row],[h_disc 1]])*Table1[[#This Row],[Column15]]))</f>
        <v/>
      </c>
      <c r="AB440" s="237" t="str">
        <f>IF(Table1[[#This Row],[Column12]]="","",Table1[[#This Row],[h_disc 1]]+Table1[[#This Row],[h_disc 2]])</f>
        <v/>
      </c>
      <c r="AC440" s="237" t="str">
        <f>IF(Table1[[#This Row],[Column12]]="","",Table1[[#This Row],[h_hargasebelumdiskon]]-Table1[[#This Row],[h_diskon]])</f>
        <v/>
      </c>
      <c r="AD440" s="237" t="str">
        <f ca="1">IF(Table1[[#This Row],[//]]="","",SUMIF(Table1[h_id],Table1[[#This Row],[h_id]],Table1[h_hargasetelahdiskon]))</f>
        <v/>
      </c>
      <c r="AF440" s="237" t="str">
        <f>Table1[[#This Row],[Column12]]&amp;Table1[[#This Row],[Unit]]&amp;Table1[[#This Row],[Column13]]</f>
        <v/>
      </c>
      <c r="AG440"/>
      <c r="AH440"/>
      <c r="AI440"/>
    </row>
    <row r="441" spans="1:35">
      <c r="A441" s="234" t="str">
        <f ca="1">IF(Table1[[#This Row],[No. Invoice :]]="","",ROW())</f>
        <v/>
      </c>
      <c r="B441" s="234" t="str">
        <f ca="1">IF(Table1[[#This Row],[Column3]]="","",B$1+COUNT(INDIRECT("B$2:B"&amp;ROW()-1)))</f>
        <v/>
      </c>
      <c r="C441" s="235" t="str">
        <f>IF(Table1[[#This Row],[Column2]]="","",Table1[[#This Row],[Column2]]+C$1-1)</f>
        <v/>
      </c>
      <c r="E441" s="236"/>
      <c r="F441" s="234"/>
      <c r="G441" s="234" t="str">
        <f ca="1">IF(Table1[[#This Row],[h_No. Invoice :]]="","",CONCATENATE("AM"," ",Table1[[#This Row],[h_No. Invoice :]]))</f>
        <v/>
      </c>
      <c r="H441" s="234" t="str">
        <f>IF(Table1[[#This Row],[Column5]]="","",INDEX(Table2[Column1],MATCH(Table1[[#This Row],[Column5]],Table2[a],0)))</f>
        <v/>
      </c>
      <c r="I441" s="234" t="str">
        <f>IF(Table1[[#This Row],[Column3]]=0,"",CONCATENATE(UPPER(Table1[[#This Row],[Column3]])," ",Table1[[#This Row],[Column4]]))</f>
        <v xml:space="preserve"> </v>
      </c>
      <c r="J441" s="234" t="str">
        <f>IF(Table1[[#This Row],[Column5]]="","",INDEX(Table2[e],IF(Table1[[#This Row],[Column5]]="","",MATCH(Table1[[#This Row],[Column5]],Table2[a],0)),))</f>
        <v/>
      </c>
      <c r="K441" s="234"/>
      <c r="L441" s="234"/>
      <c r="O441" s="234" t="str">
        <f>IF(Table1[[#This Row],[h_Item Description]]="","",INDEX([1]!db[NB PAJAK],MATCH(Table1[[#This Row],[h_Item Description]],[1]!db[kode],0)))</f>
        <v/>
      </c>
      <c r="Q441" s="237"/>
      <c r="R441" s="238"/>
      <c r="S441" s="238"/>
      <c r="T441" s="237" t="str">
        <f>Table1[[#This Row],[h_hargasetelahdiskon]]</f>
        <v/>
      </c>
      <c r="V441" s="234"/>
      <c r="W441" s="234" t="str">
        <f ca="1">IF(Table1[[#This Row],[Column12]]="","",IF(Table1[[#This Row],[//]]="",INDIRECT(ADDRESS(ROW()-1,COLUMN())),Table1[[#This Row],[//]]))</f>
        <v/>
      </c>
      <c r="X441" s="234" t="str">
        <f ca="1">IF(Table1[[#This Row],[h_id]]="","",COUNTIF(Table1[h_id],Table1[[#This Row],[h_id]]))</f>
        <v/>
      </c>
      <c r="Y441" s="237" t="str">
        <f>IF(Table1[[#This Row],[Column12]]="","",Table1[[#This Row],[Qty]]*Table1[[#This Row],[Column13]])</f>
        <v/>
      </c>
      <c r="Z441" s="237" t="str">
        <f>IF(Table1[[#This Row],[h_hargasebelumdiskon]]="","",IF(Table1[[#This Row],[Column14]]="",0,Table1[[#This Row],[h_hargasebelumdiskon]]*Table1[[#This Row],[Column14]]))</f>
        <v/>
      </c>
      <c r="AA441" s="237" t="str">
        <f>IF(Table1[[#This Row],[h_hargasebelumdiskon]]="","",IF(Table1[[#This Row],[Column15]]="",0,(Table1[[#This Row],[h_hargasebelumdiskon]]-Table1[[#This Row],[h_disc 1]])*Table1[[#This Row],[Column15]]))</f>
        <v/>
      </c>
      <c r="AB441" s="237" t="str">
        <f>IF(Table1[[#This Row],[Column12]]="","",Table1[[#This Row],[h_disc 1]]+Table1[[#This Row],[h_disc 2]])</f>
        <v/>
      </c>
      <c r="AC441" s="237" t="str">
        <f>IF(Table1[[#This Row],[Column12]]="","",Table1[[#This Row],[h_hargasebelumdiskon]]-Table1[[#This Row],[h_diskon]])</f>
        <v/>
      </c>
      <c r="AD441" s="237" t="str">
        <f ca="1">IF(Table1[[#This Row],[//]]="","",SUMIF(Table1[h_id],Table1[[#This Row],[h_id]],Table1[h_hargasetelahdiskon]))</f>
        <v/>
      </c>
      <c r="AF441" s="237" t="str">
        <f>Table1[[#This Row],[Column12]]&amp;Table1[[#This Row],[Unit]]&amp;Table1[[#This Row],[Column13]]</f>
        <v/>
      </c>
      <c r="AG441"/>
      <c r="AH441"/>
      <c r="AI441"/>
    </row>
    <row r="442" spans="1:35">
      <c r="A442" s="234" t="str">
        <f ca="1">IF(Table1[[#This Row],[No. Invoice :]]="","",ROW())</f>
        <v/>
      </c>
      <c r="B442" s="234" t="str">
        <f ca="1">IF(Table1[[#This Row],[Column3]]="","",B$1+COUNT(INDIRECT("B$2:B"&amp;ROW()-1)))</f>
        <v/>
      </c>
      <c r="C442" s="235" t="str">
        <f>IF(Table1[[#This Row],[Column2]]="","",Table1[[#This Row],[Column2]]+C$1-1)</f>
        <v/>
      </c>
      <c r="E442" s="236"/>
      <c r="F442" s="234"/>
      <c r="G442" s="234" t="str">
        <f ca="1">IF(Table1[[#This Row],[h_No. Invoice :]]="","",CONCATENATE("AM"," ",Table1[[#This Row],[h_No. Invoice :]]))</f>
        <v/>
      </c>
      <c r="H442" s="234" t="str">
        <f>IF(Table1[[#This Row],[Column5]]="","",INDEX(Table2[Column1],MATCH(Table1[[#This Row],[Column5]],Table2[a],0)))</f>
        <v/>
      </c>
      <c r="I442" s="234" t="str">
        <f>IF(Table1[[#This Row],[Column3]]=0,"",CONCATENATE(UPPER(Table1[[#This Row],[Column3]])," ",Table1[[#This Row],[Column4]]))</f>
        <v xml:space="preserve"> </v>
      </c>
      <c r="J442" s="234" t="str">
        <f>IF(Table1[[#This Row],[Column5]]="","",INDEX(Table2[e],IF(Table1[[#This Row],[Column5]]="","",MATCH(Table1[[#This Row],[Column5]],Table2[a],0)),))</f>
        <v/>
      </c>
      <c r="K442" s="234"/>
      <c r="L442" s="234"/>
      <c r="O442" s="234" t="str">
        <f>IF(Table1[[#This Row],[h_Item Description]]="","",INDEX([1]!db[NB PAJAK],MATCH(Table1[[#This Row],[h_Item Description]],[1]!db[kode],0)))</f>
        <v/>
      </c>
      <c r="Q442" s="237"/>
      <c r="R442" s="238"/>
      <c r="S442" s="238"/>
      <c r="T442" s="237" t="str">
        <f>Table1[[#This Row],[h_hargasetelahdiskon]]</f>
        <v/>
      </c>
      <c r="V442" s="234"/>
      <c r="W442" s="234" t="str">
        <f ca="1">IF(Table1[[#This Row],[Column12]]="","",IF(Table1[[#This Row],[//]]="",INDIRECT(ADDRESS(ROW()-1,COLUMN())),Table1[[#This Row],[//]]))</f>
        <v/>
      </c>
      <c r="X442" s="234" t="str">
        <f ca="1">IF(Table1[[#This Row],[h_id]]="","",COUNTIF(Table1[h_id],Table1[[#This Row],[h_id]]))</f>
        <v/>
      </c>
      <c r="Y442" s="237" t="str">
        <f>IF(Table1[[#This Row],[Column12]]="","",Table1[[#This Row],[Qty]]*Table1[[#This Row],[Column13]])</f>
        <v/>
      </c>
      <c r="Z442" s="237" t="str">
        <f>IF(Table1[[#This Row],[h_hargasebelumdiskon]]="","",IF(Table1[[#This Row],[Column14]]="",0,Table1[[#This Row],[h_hargasebelumdiskon]]*Table1[[#This Row],[Column14]]))</f>
        <v/>
      </c>
      <c r="AA442" s="237" t="str">
        <f>IF(Table1[[#This Row],[h_hargasebelumdiskon]]="","",IF(Table1[[#This Row],[Column15]]="",0,(Table1[[#This Row],[h_hargasebelumdiskon]]-Table1[[#This Row],[h_disc 1]])*Table1[[#This Row],[Column15]]))</f>
        <v/>
      </c>
      <c r="AB442" s="237" t="str">
        <f>IF(Table1[[#This Row],[Column12]]="","",Table1[[#This Row],[h_disc 1]]+Table1[[#This Row],[h_disc 2]])</f>
        <v/>
      </c>
      <c r="AC442" s="237" t="str">
        <f>IF(Table1[[#This Row],[Column12]]="","",Table1[[#This Row],[h_hargasebelumdiskon]]-Table1[[#This Row],[h_diskon]])</f>
        <v/>
      </c>
      <c r="AD442" s="237" t="str">
        <f ca="1">IF(Table1[[#This Row],[//]]="","",SUMIF(Table1[h_id],Table1[[#This Row],[h_id]],Table1[h_hargasetelahdiskon]))</f>
        <v/>
      </c>
      <c r="AF442" s="237" t="str">
        <f>Table1[[#This Row],[Column12]]&amp;Table1[[#This Row],[Unit]]&amp;Table1[[#This Row],[Column13]]</f>
        <v/>
      </c>
      <c r="AG442"/>
      <c r="AH442"/>
      <c r="AI442"/>
    </row>
    <row r="443" spans="1:35">
      <c r="A443" s="234" t="str">
        <f ca="1">IF(Table1[[#This Row],[No. Invoice :]]="","",ROW())</f>
        <v/>
      </c>
      <c r="B443" s="234" t="str">
        <f ca="1">IF(Table1[[#This Row],[Column3]]="","",B$1+COUNT(INDIRECT("B$2:B"&amp;ROW()-1)))</f>
        <v/>
      </c>
      <c r="C443" s="235" t="str">
        <f>IF(Table1[[#This Row],[Column2]]="","",Table1[[#This Row],[Column2]]+C$1-1)</f>
        <v/>
      </c>
      <c r="E443" s="236"/>
      <c r="F443" s="234"/>
      <c r="G443" s="234" t="str">
        <f ca="1">IF(Table1[[#This Row],[h_No. Invoice :]]="","",CONCATENATE("AM"," ",Table1[[#This Row],[h_No. Invoice :]]))</f>
        <v/>
      </c>
      <c r="H443" s="234" t="str">
        <f>IF(Table1[[#This Row],[Column5]]="","",INDEX(Table2[Column1],MATCH(Table1[[#This Row],[Column5]],Table2[a],0)))</f>
        <v/>
      </c>
      <c r="I443" s="234" t="str">
        <f>IF(Table1[[#This Row],[Column3]]=0,"",CONCATENATE(UPPER(Table1[[#This Row],[Column3]])," ",Table1[[#This Row],[Column4]]))</f>
        <v xml:space="preserve"> </v>
      </c>
      <c r="J443" s="234" t="str">
        <f>IF(Table1[[#This Row],[Column5]]="","",INDEX(Table2[e],IF(Table1[[#This Row],[Column5]]="","",MATCH(Table1[[#This Row],[Column5]],Table2[a],0)),))</f>
        <v/>
      </c>
      <c r="K443" s="234"/>
      <c r="L443" s="234"/>
      <c r="O443" s="234" t="str">
        <f>IF(Table1[[#This Row],[h_Item Description]]="","",INDEX([1]!db[NB PAJAK],MATCH(Table1[[#This Row],[h_Item Description]],[1]!db[kode],0)))</f>
        <v/>
      </c>
      <c r="Q443" s="237"/>
      <c r="R443" s="238"/>
      <c r="S443" s="238"/>
      <c r="T443" s="237" t="str">
        <f>Table1[[#This Row],[h_hargasetelahdiskon]]</f>
        <v/>
      </c>
      <c r="V443" s="234"/>
      <c r="W443" s="234" t="str">
        <f ca="1">IF(Table1[[#This Row],[Column12]]="","",IF(Table1[[#This Row],[//]]="",INDIRECT(ADDRESS(ROW()-1,COLUMN())),Table1[[#This Row],[//]]))</f>
        <v/>
      </c>
      <c r="X443" s="234" t="str">
        <f ca="1">IF(Table1[[#This Row],[h_id]]="","",COUNTIF(Table1[h_id],Table1[[#This Row],[h_id]]))</f>
        <v/>
      </c>
      <c r="Y443" s="237" t="str">
        <f>IF(Table1[[#This Row],[Column12]]="","",Table1[[#This Row],[Qty]]*Table1[[#This Row],[Column13]])</f>
        <v/>
      </c>
      <c r="Z443" s="237" t="str">
        <f>IF(Table1[[#This Row],[h_hargasebelumdiskon]]="","",IF(Table1[[#This Row],[Column14]]="",0,Table1[[#This Row],[h_hargasebelumdiskon]]*Table1[[#This Row],[Column14]]))</f>
        <v/>
      </c>
      <c r="AA443" s="237" t="str">
        <f>IF(Table1[[#This Row],[h_hargasebelumdiskon]]="","",IF(Table1[[#This Row],[Column15]]="",0,(Table1[[#This Row],[h_hargasebelumdiskon]]-Table1[[#This Row],[h_disc 1]])*Table1[[#This Row],[Column15]]))</f>
        <v/>
      </c>
      <c r="AB443" s="237" t="str">
        <f>IF(Table1[[#This Row],[Column12]]="","",Table1[[#This Row],[h_disc 1]]+Table1[[#This Row],[h_disc 2]])</f>
        <v/>
      </c>
      <c r="AC443" s="237" t="str">
        <f>IF(Table1[[#This Row],[Column12]]="","",Table1[[#This Row],[h_hargasebelumdiskon]]-Table1[[#This Row],[h_diskon]])</f>
        <v/>
      </c>
      <c r="AD443" s="237" t="str">
        <f ca="1">IF(Table1[[#This Row],[//]]="","",SUMIF(Table1[h_id],Table1[[#This Row],[h_id]],Table1[h_hargasetelahdiskon]))</f>
        <v/>
      </c>
      <c r="AF443" s="237" t="str">
        <f>Table1[[#This Row],[Column12]]&amp;Table1[[#This Row],[Unit]]&amp;Table1[[#This Row],[Column13]]</f>
        <v/>
      </c>
      <c r="AG443"/>
      <c r="AH443"/>
      <c r="AI443"/>
    </row>
    <row r="444" spans="1:35">
      <c r="A444" s="234" t="str">
        <f ca="1">IF(Table1[[#This Row],[No. Invoice :]]="","",ROW())</f>
        <v/>
      </c>
      <c r="B444" s="234" t="str">
        <f ca="1">IF(Table1[[#This Row],[Column3]]="","",B$1+COUNT(INDIRECT("B$2:B"&amp;ROW()-1)))</f>
        <v/>
      </c>
      <c r="C444" s="235" t="str">
        <f>IF(Table1[[#This Row],[Column2]]="","",Table1[[#This Row],[Column2]]+C$1-1)</f>
        <v/>
      </c>
      <c r="E444" s="236"/>
      <c r="F444" s="234"/>
      <c r="G444" s="234" t="str">
        <f ca="1">IF(Table1[[#This Row],[h_No. Invoice :]]="","",CONCATENATE("AM"," ",Table1[[#This Row],[h_No. Invoice :]]))</f>
        <v/>
      </c>
      <c r="H444" s="234" t="str">
        <f>IF(Table1[[#This Row],[Column5]]="","",INDEX(Table2[Column1],MATCH(Table1[[#This Row],[Column5]],Table2[a],0)))</f>
        <v/>
      </c>
      <c r="I444" s="234" t="str">
        <f>IF(Table1[[#This Row],[Column3]]=0,"",CONCATENATE(UPPER(Table1[[#This Row],[Column3]])," ",Table1[[#This Row],[Column4]]))</f>
        <v xml:space="preserve"> </v>
      </c>
      <c r="J444" s="234" t="str">
        <f>IF(Table1[[#This Row],[Column5]]="","",INDEX(Table2[e],IF(Table1[[#This Row],[Column5]]="","",MATCH(Table1[[#This Row],[Column5]],Table2[a],0)),))</f>
        <v/>
      </c>
      <c r="K444" s="234"/>
      <c r="L444" s="234"/>
      <c r="O444" s="234" t="str">
        <f>IF(Table1[[#This Row],[h_Item Description]]="","",INDEX([1]!db[NB PAJAK],MATCH(Table1[[#This Row],[h_Item Description]],[1]!db[kode],0)))</f>
        <v/>
      </c>
      <c r="Q444" s="237"/>
      <c r="R444" s="238"/>
      <c r="S444" s="238"/>
      <c r="T444" s="237" t="str">
        <f>Table1[[#This Row],[h_hargasetelahdiskon]]</f>
        <v/>
      </c>
      <c r="V444" s="234"/>
      <c r="W444" s="234" t="str">
        <f ca="1">IF(Table1[[#This Row],[Column12]]="","",IF(Table1[[#This Row],[//]]="",INDIRECT(ADDRESS(ROW()-1,COLUMN())),Table1[[#This Row],[//]]))</f>
        <v/>
      </c>
      <c r="X444" s="234" t="str">
        <f ca="1">IF(Table1[[#This Row],[h_id]]="","",COUNTIF(Table1[h_id],Table1[[#This Row],[h_id]]))</f>
        <v/>
      </c>
      <c r="Y444" s="237" t="str">
        <f>IF(Table1[[#This Row],[Column12]]="","",Table1[[#This Row],[Qty]]*Table1[[#This Row],[Column13]])</f>
        <v/>
      </c>
      <c r="Z444" s="237" t="str">
        <f>IF(Table1[[#This Row],[h_hargasebelumdiskon]]="","",IF(Table1[[#This Row],[Column14]]="",0,Table1[[#This Row],[h_hargasebelumdiskon]]*Table1[[#This Row],[Column14]]))</f>
        <v/>
      </c>
      <c r="AA444" s="237" t="str">
        <f>IF(Table1[[#This Row],[h_hargasebelumdiskon]]="","",IF(Table1[[#This Row],[Column15]]="",0,(Table1[[#This Row],[h_hargasebelumdiskon]]-Table1[[#This Row],[h_disc 1]])*Table1[[#This Row],[Column15]]))</f>
        <v/>
      </c>
      <c r="AB444" s="237" t="str">
        <f>IF(Table1[[#This Row],[Column12]]="","",Table1[[#This Row],[h_disc 1]]+Table1[[#This Row],[h_disc 2]])</f>
        <v/>
      </c>
      <c r="AC444" s="237" t="str">
        <f>IF(Table1[[#This Row],[Column12]]="","",Table1[[#This Row],[h_hargasebelumdiskon]]-Table1[[#This Row],[h_diskon]])</f>
        <v/>
      </c>
      <c r="AD444" s="237" t="str">
        <f ca="1">IF(Table1[[#This Row],[//]]="","",SUMIF(Table1[h_id],Table1[[#This Row],[h_id]],Table1[h_hargasetelahdiskon]))</f>
        <v/>
      </c>
      <c r="AF444" s="237" t="str">
        <f>Table1[[#This Row],[Column12]]&amp;Table1[[#This Row],[Unit]]&amp;Table1[[#This Row],[Column13]]</f>
        <v/>
      </c>
      <c r="AG444"/>
      <c r="AH444"/>
      <c r="AI444"/>
    </row>
    <row r="445" spans="1:35">
      <c r="A445" s="234" t="str">
        <f ca="1">IF(Table1[[#This Row],[No. Invoice :]]="","",ROW())</f>
        <v/>
      </c>
      <c r="B445" s="234" t="str">
        <f ca="1">IF(Table1[[#This Row],[Column3]]="","",B$1+COUNT(INDIRECT("B$2:B"&amp;ROW()-1)))</f>
        <v/>
      </c>
      <c r="C445" s="235" t="str">
        <f>IF(Table1[[#This Row],[Column2]]="","",Table1[[#This Row],[Column2]]+C$1-1)</f>
        <v/>
      </c>
      <c r="E445" s="236"/>
      <c r="F445" s="234"/>
      <c r="G445" s="234" t="str">
        <f ca="1">IF(Table1[[#This Row],[h_No. Invoice :]]="","",CONCATENATE("AM"," ",Table1[[#This Row],[h_No. Invoice :]]))</f>
        <v/>
      </c>
      <c r="H445" s="234" t="str">
        <f>IF(Table1[[#This Row],[Column5]]="","",INDEX(Table2[Column1],MATCH(Table1[[#This Row],[Column5]],Table2[a],0)))</f>
        <v/>
      </c>
      <c r="I445" s="234" t="str">
        <f>IF(Table1[[#This Row],[Column3]]=0,"",CONCATENATE(UPPER(Table1[[#This Row],[Column3]])," ",Table1[[#This Row],[Column4]]))</f>
        <v xml:space="preserve"> </v>
      </c>
      <c r="J445" s="234" t="str">
        <f>IF(Table1[[#This Row],[Column5]]="","",INDEX(Table2[e],IF(Table1[[#This Row],[Column5]]="","",MATCH(Table1[[#This Row],[Column5]],Table2[a],0)),))</f>
        <v/>
      </c>
      <c r="K445" s="234"/>
      <c r="L445" s="234"/>
      <c r="O445" s="234" t="str">
        <f>IF(Table1[[#This Row],[h_Item Description]]="","",INDEX([1]!db[NB PAJAK],MATCH(Table1[[#This Row],[h_Item Description]],[1]!db[kode],0)))</f>
        <v/>
      </c>
      <c r="Q445" s="237"/>
      <c r="R445" s="238"/>
      <c r="S445" s="238"/>
      <c r="T445" s="237" t="str">
        <f>Table1[[#This Row],[h_hargasetelahdiskon]]</f>
        <v/>
      </c>
      <c r="V445" s="234"/>
      <c r="W445" s="234" t="str">
        <f ca="1">IF(Table1[[#This Row],[Column12]]="","",IF(Table1[[#This Row],[//]]="",INDIRECT(ADDRESS(ROW()-1,COLUMN())),Table1[[#This Row],[//]]))</f>
        <v/>
      </c>
      <c r="X445" s="234" t="str">
        <f ca="1">IF(Table1[[#This Row],[h_id]]="","",COUNTIF(Table1[h_id],Table1[[#This Row],[h_id]]))</f>
        <v/>
      </c>
      <c r="Y445" s="237" t="str">
        <f>IF(Table1[[#This Row],[Column12]]="","",Table1[[#This Row],[Qty]]*Table1[[#This Row],[Column13]])</f>
        <v/>
      </c>
      <c r="Z445" s="237" t="str">
        <f>IF(Table1[[#This Row],[h_hargasebelumdiskon]]="","",IF(Table1[[#This Row],[Column14]]="",0,Table1[[#This Row],[h_hargasebelumdiskon]]*Table1[[#This Row],[Column14]]))</f>
        <v/>
      </c>
      <c r="AA445" s="237" t="str">
        <f>IF(Table1[[#This Row],[h_hargasebelumdiskon]]="","",IF(Table1[[#This Row],[Column15]]="",0,(Table1[[#This Row],[h_hargasebelumdiskon]]-Table1[[#This Row],[h_disc 1]])*Table1[[#This Row],[Column15]]))</f>
        <v/>
      </c>
      <c r="AB445" s="237" t="str">
        <f>IF(Table1[[#This Row],[Column12]]="","",Table1[[#This Row],[h_disc 1]]+Table1[[#This Row],[h_disc 2]])</f>
        <v/>
      </c>
      <c r="AC445" s="237" t="str">
        <f>IF(Table1[[#This Row],[Column12]]="","",Table1[[#This Row],[h_hargasebelumdiskon]]-Table1[[#This Row],[h_diskon]])</f>
        <v/>
      </c>
      <c r="AD445" s="237" t="str">
        <f ca="1">IF(Table1[[#This Row],[//]]="","",SUMIF(Table1[h_id],Table1[[#This Row],[h_id]],Table1[h_hargasetelahdiskon]))</f>
        <v/>
      </c>
      <c r="AF445" s="237" t="str">
        <f>Table1[[#This Row],[Column12]]&amp;Table1[[#This Row],[Unit]]&amp;Table1[[#This Row],[Column13]]</f>
        <v/>
      </c>
      <c r="AG445"/>
      <c r="AH445"/>
      <c r="AI445"/>
    </row>
    <row r="446" spans="1:35">
      <c r="A446" s="234" t="str">
        <f ca="1">IF(Table1[[#This Row],[No. Invoice :]]="","",ROW())</f>
        <v/>
      </c>
      <c r="B446" s="234" t="str">
        <f ca="1">IF(Table1[[#This Row],[Column3]]="","",B$1+COUNT(INDIRECT("B$2:B"&amp;ROW()-1)))</f>
        <v/>
      </c>
      <c r="C446" s="235" t="str">
        <f>IF(Table1[[#This Row],[Column2]]="","",Table1[[#This Row],[Column2]]+C$1-1)</f>
        <v/>
      </c>
      <c r="E446" s="236"/>
      <c r="F446" s="234"/>
      <c r="G446" s="234" t="str">
        <f ca="1">IF(Table1[[#This Row],[h_No. Invoice :]]="","",CONCATENATE("AM"," ",Table1[[#This Row],[h_No. Invoice :]]))</f>
        <v/>
      </c>
      <c r="H446" s="234" t="str">
        <f>IF(Table1[[#This Row],[Column5]]="","",INDEX(Table2[Column1],MATCH(Table1[[#This Row],[Column5]],Table2[a],0)))</f>
        <v/>
      </c>
      <c r="I446" s="234" t="str">
        <f>IF(Table1[[#This Row],[Column3]]=0,"",CONCATENATE(UPPER(Table1[[#This Row],[Column3]])," ",Table1[[#This Row],[Column4]]))</f>
        <v xml:space="preserve"> </v>
      </c>
      <c r="J446" s="234" t="str">
        <f>IF(Table1[[#This Row],[Column5]]="","",INDEX(Table2[e],IF(Table1[[#This Row],[Column5]]="","",MATCH(Table1[[#This Row],[Column5]],Table2[a],0)),))</f>
        <v/>
      </c>
      <c r="K446" s="234"/>
      <c r="L446" s="234"/>
      <c r="O446" s="234" t="str">
        <f>IF(Table1[[#This Row],[h_Item Description]]="","",INDEX([1]!db[NB PAJAK],MATCH(Table1[[#This Row],[h_Item Description]],[1]!db[kode],0)))</f>
        <v/>
      </c>
      <c r="Q446" s="237"/>
      <c r="R446" s="238"/>
      <c r="S446" s="238"/>
      <c r="T446" s="237" t="str">
        <f>Table1[[#This Row],[h_hargasetelahdiskon]]</f>
        <v/>
      </c>
      <c r="V446" s="234"/>
      <c r="W446" s="234" t="str">
        <f ca="1">IF(Table1[[#This Row],[Column12]]="","",IF(Table1[[#This Row],[//]]="",INDIRECT(ADDRESS(ROW()-1,COLUMN())),Table1[[#This Row],[//]]))</f>
        <v/>
      </c>
      <c r="X446" s="234" t="str">
        <f ca="1">IF(Table1[[#This Row],[h_id]]="","",COUNTIF(Table1[h_id],Table1[[#This Row],[h_id]]))</f>
        <v/>
      </c>
      <c r="Y446" s="237" t="str">
        <f>IF(Table1[[#This Row],[Column12]]="","",Table1[[#This Row],[Qty]]*Table1[[#This Row],[Column13]])</f>
        <v/>
      </c>
      <c r="Z446" s="237" t="str">
        <f>IF(Table1[[#This Row],[h_hargasebelumdiskon]]="","",IF(Table1[[#This Row],[Column14]]="",0,Table1[[#This Row],[h_hargasebelumdiskon]]*Table1[[#This Row],[Column14]]))</f>
        <v/>
      </c>
      <c r="AA446" s="237" t="str">
        <f>IF(Table1[[#This Row],[h_hargasebelumdiskon]]="","",IF(Table1[[#This Row],[Column15]]="",0,(Table1[[#This Row],[h_hargasebelumdiskon]]-Table1[[#This Row],[h_disc 1]])*Table1[[#This Row],[Column15]]))</f>
        <v/>
      </c>
      <c r="AB446" s="237" t="str">
        <f>IF(Table1[[#This Row],[Column12]]="","",Table1[[#This Row],[h_disc 1]]+Table1[[#This Row],[h_disc 2]])</f>
        <v/>
      </c>
      <c r="AC446" s="237" t="str">
        <f>IF(Table1[[#This Row],[Column12]]="","",Table1[[#This Row],[h_hargasebelumdiskon]]-Table1[[#This Row],[h_diskon]])</f>
        <v/>
      </c>
      <c r="AD446" s="237" t="str">
        <f ca="1">IF(Table1[[#This Row],[//]]="","",SUMIF(Table1[h_id],Table1[[#This Row],[h_id]],Table1[h_hargasetelahdiskon]))</f>
        <v/>
      </c>
      <c r="AF446" s="237" t="str">
        <f>Table1[[#This Row],[Column12]]&amp;Table1[[#This Row],[Unit]]&amp;Table1[[#This Row],[Column13]]</f>
        <v/>
      </c>
      <c r="AG446"/>
      <c r="AH446"/>
      <c r="AI446"/>
    </row>
    <row r="447" spans="1:35">
      <c r="A447" s="234" t="str">
        <f ca="1">IF(Table1[[#This Row],[No. Invoice :]]="","",ROW())</f>
        <v/>
      </c>
      <c r="B447" s="234" t="str">
        <f ca="1">IF(Table1[[#This Row],[Column3]]="","",B$1+COUNT(INDIRECT("B$2:B"&amp;ROW()-1)))</f>
        <v/>
      </c>
      <c r="C447" s="235" t="str">
        <f>IF(Table1[[#This Row],[Column2]]="","",Table1[[#This Row],[Column2]]+C$1-1)</f>
        <v/>
      </c>
      <c r="E447" s="236"/>
      <c r="F447" s="234"/>
      <c r="G447" s="234" t="str">
        <f ca="1">IF(Table1[[#This Row],[h_No. Invoice :]]="","",CONCATENATE("AM"," ",Table1[[#This Row],[h_No. Invoice :]]))</f>
        <v/>
      </c>
      <c r="H447" s="234" t="str">
        <f>IF(Table1[[#This Row],[Column5]]="","",INDEX(Table2[Column1],MATCH(Table1[[#This Row],[Column5]],Table2[a],0)))</f>
        <v/>
      </c>
      <c r="I447" s="234" t="str">
        <f>IF(Table1[[#This Row],[Column3]]=0,"",CONCATENATE(UPPER(Table1[[#This Row],[Column3]])," ",Table1[[#This Row],[Column4]]))</f>
        <v xml:space="preserve"> </v>
      </c>
      <c r="J447" s="234" t="str">
        <f>IF(Table1[[#This Row],[Column5]]="","",INDEX(Table2[e],IF(Table1[[#This Row],[Column5]]="","",MATCH(Table1[[#This Row],[Column5]],Table2[a],0)),))</f>
        <v/>
      </c>
      <c r="K447" s="234"/>
      <c r="L447" s="234"/>
      <c r="O447" s="234" t="str">
        <f>IF(Table1[[#This Row],[h_Item Description]]="","",INDEX([1]!db[NB PAJAK],MATCH(Table1[[#This Row],[h_Item Description]],[1]!db[kode],0)))</f>
        <v/>
      </c>
      <c r="Q447" s="237"/>
      <c r="R447" s="238"/>
      <c r="S447" s="238"/>
      <c r="T447" s="237" t="str">
        <f>Table1[[#This Row],[h_hargasetelahdiskon]]</f>
        <v/>
      </c>
      <c r="V447" s="234"/>
      <c r="W447" s="234" t="str">
        <f ca="1">IF(Table1[[#This Row],[Column12]]="","",IF(Table1[[#This Row],[//]]="",INDIRECT(ADDRESS(ROW()-1,COLUMN())),Table1[[#This Row],[//]]))</f>
        <v/>
      </c>
      <c r="X447" s="234" t="str">
        <f ca="1">IF(Table1[[#This Row],[h_id]]="","",COUNTIF(Table1[h_id],Table1[[#This Row],[h_id]]))</f>
        <v/>
      </c>
      <c r="Y447" s="237" t="str">
        <f>IF(Table1[[#This Row],[Column12]]="","",Table1[[#This Row],[Qty]]*Table1[[#This Row],[Column13]])</f>
        <v/>
      </c>
      <c r="Z447" s="237" t="str">
        <f>IF(Table1[[#This Row],[h_hargasebelumdiskon]]="","",IF(Table1[[#This Row],[Column14]]="",0,Table1[[#This Row],[h_hargasebelumdiskon]]*Table1[[#This Row],[Column14]]))</f>
        <v/>
      </c>
      <c r="AA447" s="237" t="str">
        <f>IF(Table1[[#This Row],[h_hargasebelumdiskon]]="","",IF(Table1[[#This Row],[Column15]]="",0,(Table1[[#This Row],[h_hargasebelumdiskon]]-Table1[[#This Row],[h_disc 1]])*Table1[[#This Row],[Column15]]))</f>
        <v/>
      </c>
      <c r="AB447" s="237" t="str">
        <f>IF(Table1[[#This Row],[Column12]]="","",Table1[[#This Row],[h_disc 1]]+Table1[[#This Row],[h_disc 2]])</f>
        <v/>
      </c>
      <c r="AC447" s="237" t="str">
        <f>IF(Table1[[#This Row],[Column12]]="","",Table1[[#This Row],[h_hargasebelumdiskon]]-Table1[[#This Row],[h_diskon]])</f>
        <v/>
      </c>
      <c r="AD447" s="237" t="str">
        <f ca="1">IF(Table1[[#This Row],[//]]="","",SUMIF(Table1[h_id],Table1[[#This Row],[h_id]],Table1[h_hargasetelahdiskon]))</f>
        <v/>
      </c>
      <c r="AF447" s="237" t="str">
        <f>Table1[[#This Row],[Column12]]&amp;Table1[[#This Row],[Unit]]&amp;Table1[[#This Row],[Column13]]</f>
        <v/>
      </c>
      <c r="AG447"/>
      <c r="AH447"/>
      <c r="AI447"/>
    </row>
    <row r="448" spans="1:35">
      <c r="A448" s="234" t="str">
        <f ca="1">IF(Table1[[#This Row],[No. Invoice :]]="","",ROW())</f>
        <v/>
      </c>
      <c r="B448" s="234" t="str">
        <f ca="1">IF(Table1[[#This Row],[Column3]]="","",B$1+COUNT(INDIRECT("B$2:B"&amp;ROW()-1)))</f>
        <v/>
      </c>
      <c r="C448" s="235" t="str">
        <f>IF(Table1[[#This Row],[Column2]]="","",Table1[[#This Row],[Column2]]+C$1-1)</f>
        <v/>
      </c>
      <c r="E448" s="236"/>
      <c r="F448" s="234"/>
      <c r="G448" s="234" t="str">
        <f ca="1">IF(Table1[[#This Row],[h_No. Invoice :]]="","",CONCATENATE("AM"," ",Table1[[#This Row],[h_No. Invoice :]]))</f>
        <v/>
      </c>
      <c r="H448" s="234" t="str">
        <f>IF(Table1[[#This Row],[Column5]]="","",INDEX(Table2[Column1],MATCH(Table1[[#This Row],[Column5]],Table2[a],0)))</f>
        <v/>
      </c>
      <c r="I448" s="234" t="str">
        <f>IF(Table1[[#This Row],[Column3]]=0,"",CONCATENATE(UPPER(Table1[[#This Row],[Column3]])," ",Table1[[#This Row],[Column4]]))</f>
        <v xml:space="preserve"> </v>
      </c>
      <c r="J448" s="234" t="str">
        <f>IF(Table1[[#This Row],[Column5]]="","",INDEX(Table2[e],IF(Table1[[#This Row],[Column5]]="","",MATCH(Table1[[#This Row],[Column5]],Table2[a],0)),))</f>
        <v/>
      </c>
      <c r="K448" s="234"/>
      <c r="L448" s="234"/>
      <c r="O448" s="234" t="str">
        <f>IF(Table1[[#This Row],[h_Item Description]]="","",INDEX([1]!db[NB PAJAK],MATCH(Table1[[#This Row],[h_Item Description]],[1]!db[kode],0)))</f>
        <v/>
      </c>
      <c r="Q448" s="237"/>
      <c r="R448" s="238"/>
      <c r="S448" s="238"/>
      <c r="T448" s="237" t="str">
        <f>Table1[[#This Row],[h_hargasetelahdiskon]]</f>
        <v/>
      </c>
      <c r="V448" s="234"/>
      <c r="W448" s="234" t="str">
        <f ca="1">IF(Table1[[#This Row],[Column12]]="","",IF(Table1[[#This Row],[//]]="",INDIRECT(ADDRESS(ROW()-1,COLUMN())),Table1[[#This Row],[//]]))</f>
        <v/>
      </c>
      <c r="X448" s="234" t="str">
        <f ca="1">IF(Table1[[#This Row],[h_id]]="","",COUNTIF(Table1[h_id],Table1[[#This Row],[h_id]]))</f>
        <v/>
      </c>
      <c r="Y448" s="237" t="str">
        <f>IF(Table1[[#This Row],[Column12]]="","",Table1[[#This Row],[Qty]]*Table1[[#This Row],[Column13]])</f>
        <v/>
      </c>
      <c r="Z448" s="237" t="str">
        <f>IF(Table1[[#This Row],[h_hargasebelumdiskon]]="","",IF(Table1[[#This Row],[Column14]]="",0,Table1[[#This Row],[h_hargasebelumdiskon]]*Table1[[#This Row],[Column14]]))</f>
        <v/>
      </c>
      <c r="AA448" s="237" t="str">
        <f>IF(Table1[[#This Row],[h_hargasebelumdiskon]]="","",IF(Table1[[#This Row],[Column15]]="",0,(Table1[[#This Row],[h_hargasebelumdiskon]]-Table1[[#This Row],[h_disc 1]])*Table1[[#This Row],[Column15]]))</f>
        <v/>
      </c>
      <c r="AB448" s="237" t="str">
        <f>IF(Table1[[#This Row],[Column12]]="","",Table1[[#This Row],[h_disc 1]]+Table1[[#This Row],[h_disc 2]])</f>
        <v/>
      </c>
      <c r="AC448" s="237" t="str">
        <f>IF(Table1[[#This Row],[Column12]]="","",Table1[[#This Row],[h_hargasebelumdiskon]]-Table1[[#This Row],[h_diskon]])</f>
        <v/>
      </c>
      <c r="AD448" s="237" t="str">
        <f ca="1">IF(Table1[[#This Row],[//]]="","",SUMIF(Table1[h_id],Table1[[#This Row],[h_id]],Table1[h_hargasetelahdiskon]))</f>
        <v/>
      </c>
      <c r="AF448" s="237" t="str">
        <f>Table1[[#This Row],[Column12]]&amp;Table1[[#This Row],[Unit]]&amp;Table1[[#This Row],[Column13]]</f>
        <v/>
      </c>
      <c r="AG448"/>
      <c r="AH448"/>
      <c r="AI448"/>
    </row>
    <row r="449" spans="1:35">
      <c r="A449" s="234" t="str">
        <f ca="1">IF(Table1[[#This Row],[No. Invoice :]]="","",ROW())</f>
        <v/>
      </c>
      <c r="B449" s="234" t="str">
        <f ca="1">IF(Table1[[#This Row],[Column3]]="","",B$1+COUNT(INDIRECT("B$2:B"&amp;ROW()-1)))</f>
        <v/>
      </c>
      <c r="C449" s="235" t="str">
        <f>IF(Table1[[#This Row],[Column2]]="","",Table1[[#This Row],[Column2]]+C$1-1)</f>
        <v/>
      </c>
      <c r="E449" s="236"/>
      <c r="F449" s="234"/>
      <c r="G449" s="234" t="str">
        <f ca="1">IF(Table1[[#This Row],[h_No. Invoice :]]="","",CONCATENATE("AM"," ",Table1[[#This Row],[h_No. Invoice :]]))</f>
        <v/>
      </c>
      <c r="H449" s="234" t="str">
        <f>IF(Table1[[#This Row],[Column5]]="","",INDEX(Table2[Column1],MATCH(Table1[[#This Row],[Column5]],Table2[a],0)))</f>
        <v/>
      </c>
      <c r="I449" s="234" t="str">
        <f>IF(Table1[[#This Row],[Column3]]=0,"",CONCATENATE(UPPER(Table1[[#This Row],[Column3]])," ",Table1[[#This Row],[Column4]]))</f>
        <v xml:space="preserve"> </v>
      </c>
      <c r="J449" s="234" t="str">
        <f>IF(Table1[[#This Row],[Column5]]="","",INDEX(Table2[e],IF(Table1[[#This Row],[Column5]]="","",MATCH(Table1[[#This Row],[Column5]],Table2[a],0)),))</f>
        <v/>
      </c>
      <c r="K449" s="234"/>
      <c r="L449" s="234"/>
      <c r="O449" s="234" t="str">
        <f>IF(Table1[[#This Row],[h_Item Description]]="","",INDEX([1]!db[NB PAJAK],MATCH(Table1[[#This Row],[h_Item Description]],[1]!db[kode],0)))</f>
        <v/>
      </c>
      <c r="Q449" s="237"/>
      <c r="R449" s="238"/>
      <c r="S449" s="238"/>
      <c r="T449" s="237" t="str">
        <f>Table1[[#This Row],[h_hargasetelahdiskon]]</f>
        <v/>
      </c>
      <c r="V449" s="234"/>
      <c r="W449" s="234" t="str">
        <f ca="1">IF(Table1[[#This Row],[Column12]]="","",IF(Table1[[#This Row],[//]]="",INDIRECT(ADDRESS(ROW()-1,COLUMN())),Table1[[#This Row],[//]]))</f>
        <v/>
      </c>
      <c r="X449" s="234" t="str">
        <f ca="1">IF(Table1[[#This Row],[h_id]]="","",COUNTIF(Table1[h_id],Table1[[#This Row],[h_id]]))</f>
        <v/>
      </c>
      <c r="Y449" s="237" t="str">
        <f>IF(Table1[[#This Row],[Column12]]="","",Table1[[#This Row],[Qty]]*Table1[[#This Row],[Column13]])</f>
        <v/>
      </c>
      <c r="Z449" s="237" t="str">
        <f>IF(Table1[[#This Row],[h_hargasebelumdiskon]]="","",IF(Table1[[#This Row],[Column14]]="",0,Table1[[#This Row],[h_hargasebelumdiskon]]*Table1[[#This Row],[Column14]]))</f>
        <v/>
      </c>
      <c r="AA449" s="237" t="str">
        <f>IF(Table1[[#This Row],[h_hargasebelumdiskon]]="","",IF(Table1[[#This Row],[Column15]]="",0,(Table1[[#This Row],[h_hargasebelumdiskon]]-Table1[[#This Row],[h_disc 1]])*Table1[[#This Row],[Column15]]))</f>
        <v/>
      </c>
      <c r="AB449" s="237" t="str">
        <f>IF(Table1[[#This Row],[Column12]]="","",Table1[[#This Row],[h_disc 1]]+Table1[[#This Row],[h_disc 2]])</f>
        <v/>
      </c>
      <c r="AC449" s="237" t="str">
        <f>IF(Table1[[#This Row],[Column12]]="","",Table1[[#This Row],[h_hargasebelumdiskon]]-Table1[[#This Row],[h_diskon]])</f>
        <v/>
      </c>
      <c r="AD449" s="237" t="str">
        <f ca="1">IF(Table1[[#This Row],[//]]="","",SUMIF(Table1[h_id],Table1[[#This Row],[h_id]],Table1[h_hargasetelahdiskon]))</f>
        <v/>
      </c>
      <c r="AF449" s="237" t="str">
        <f>Table1[[#This Row],[Column12]]&amp;Table1[[#This Row],[Unit]]&amp;Table1[[#This Row],[Column13]]</f>
        <v/>
      </c>
      <c r="AG449"/>
      <c r="AH449"/>
      <c r="AI449"/>
    </row>
    <row r="450" spans="1:35">
      <c r="A450" s="234" t="str">
        <f ca="1">IF(Table1[[#This Row],[No. Invoice :]]="","",ROW())</f>
        <v/>
      </c>
      <c r="B450" s="234" t="str">
        <f ca="1">IF(Table1[[#This Row],[Column3]]="","",B$1+COUNT(INDIRECT("B$2:B"&amp;ROW()-1)))</f>
        <v/>
      </c>
      <c r="C450" s="235" t="str">
        <f>IF(Table1[[#This Row],[Column2]]="","",Table1[[#This Row],[Column2]]+C$1-1)</f>
        <v/>
      </c>
      <c r="E450" s="236"/>
      <c r="F450" s="234"/>
      <c r="G450" s="234" t="str">
        <f ca="1">IF(Table1[[#This Row],[h_No. Invoice :]]="","",CONCATENATE("AM"," ",Table1[[#This Row],[h_No. Invoice :]]))</f>
        <v/>
      </c>
      <c r="H450" s="234" t="str">
        <f>IF(Table1[[#This Row],[Column5]]="","",INDEX(Table2[Column1],MATCH(Table1[[#This Row],[Column5]],Table2[a],0)))</f>
        <v/>
      </c>
      <c r="I450" s="234" t="str">
        <f>IF(Table1[[#This Row],[Column3]]=0,"",CONCATENATE(UPPER(Table1[[#This Row],[Column3]])," ",Table1[[#This Row],[Column4]]))</f>
        <v xml:space="preserve"> </v>
      </c>
      <c r="J450" s="234" t="str">
        <f>IF(Table1[[#This Row],[Column5]]="","",INDEX(Table2[e],IF(Table1[[#This Row],[Column5]]="","",MATCH(Table1[[#This Row],[Column5]],Table2[a],0)),))</f>
        <v/>
      </c>
      <c r="K450" s="234"/>
      <c r="L450" s="234"/>
      <c r="O450" s="234" t="str">
        <f>IF(Table1[[#This Row],[h_Item Description]]="","",INDEX([1]!db[NB PAJAK],MATCH(Table1[[#This Row],[h_Item Description]],[1]!db[kode],0)))</f>
        <v/>
      </c>
      <c r="Q450" s="237"/>
      <c r="R450" s="238"/>
      <c r="S450" s="238"/>
      <c r="T450" s="237" t="str">
        <f>Table1[[#This Row],[h_hargasetelahdiskon]]</f>
        <v/>
      </c>
      <c r="V450" s="234"/>
      <c r="W450" s="234" t="str">
        <f ca="1">IF(Table1[[#This Row],[Column12]]="","",IF(Table1[[#This Row],[//]]="",INDIRECT(ADDRESS(ROW()-1,COLUMN())),Table1[[#This Row],[//]]))</f>
        <v/>
      </c>
      <c r="X450" s="234" t="str">
        <f ca="1">IF(Table1[[#This Row],[h_id]]="","",COUNTIF(Table1[h_id],Table1[[#This Row],[h_id]]))</f>
        <v/>
      </c>
      <c r="Y450" s="237" t="str">
        <f>IF(Table1[[#This Row],[Column12]]="","",Table1[[#This Row],[Qty]]*Table1[[#This Row],[Column13]])</f>
        <v/>
      </c>
      <c r="Z450" s="237" t="str">
        <f>IF(Table1[[#This Row],[h_hargasebelumdiskon]]="","",IF(Table1[[#This Row],[Column14]]="",0,Table1[[#This Row],[h_hargasebelumdiskon]]*Table1[[#This Row],[Column14]]))</f>
        <v/>
      </c>
      <c r="AA450" s="237" t="str">
        <f>IF(Table1[[#This Row],[h_hargasebelumdiskon]]="","",IF(Table1[[#This Row],[Column15]]="",0,(Table1[[#This Row],[h_hargasebelumdiskon]]-Table1[[#This Row],[h_disc 1]])*Table1[[#This Row],[Column15]]))</f>
        <v/>
      </c>
      <c r="AB450" s="237" t="str">
        <f>IF(Table1[[#This Row],[Column12]]="","",Table1[[#This Row],[h_disc 1]]+Table1[[#This Row],[h_disc 2]])</f>
        <v/>
      </c>
      <c r="AC450" s="237" t="str">
        <f>IF(Table1[[#This Row],[Column12]]="","",Table1[[#This Row],[h_hargasebelumdiskon]]-Table1[[#This Row],[h_diskon]])</f>
        <v/>
      </c>
      <c r="AD450" s="237" t="str">
        <f ca="1">IF(Table1[[#This Row],[//]]="","",SUMIF(Table1[h_id],Table1[[#This Row],[h_id]],Table1[h_hargasetelahdiskon]))</f>
        <v/>
      </c>
      <c r="AF450" s="237" t="str">
        <f>Table1[[#This Row],[Column12]]&amp;Table1[[#This Row],[Unit]]&amp;Table1[[#This Row],[Column13]]</f>
        <v/>
      </c>
      <c r="AG450"/>
      <c r="AH450"/>
      <c r="AI450"/>
    </row>
    <row r="451" spans="1:35">
      <c r="A451" s="234" t="str">
        <f ca="1">IF(Table1[[#This Row],[No. Invoice :]]="","",ROW())</f>
        <v/>
      </c>
      <c r="B451" s="234" t="str">
        <f ca="1">IF(Table1[[#This Row],[Column3]]="","",B$1+COUNT(INDIRECT("B$2:B"&amp;ROW()-1)))</f>
        <v/>
      </c>
      <c r="C451" s="235" t="str">
        <f>IF(Table1[[#This Row],[Column2]]="","",Table1[[#This Row],[Column2]]+C$1-1)</f>
        <v/>
      </c>
      <c r="E451" s="236"/>
      <c r="F451" s="234"/>
      <c r="G451" s="234" t="str">
        <f ca="1">IF(Table1[[#This Row],[h_No. Invoice :]]="","",CONCATENATE("AM"," ",Table1[[#This Row],[h_No. Invoice :]]))</f>
        <v/>
      </c>
      <c r="H451" s="234" t="str">
        <f>IF(Table1[[#This Row],[Column5]]="","",INDEX(Table2[Column1],MATCH(Table1[[#This Row],[Column5]],Table2[a],0)))</f>
        <v/>
      </c>
      <c r="I451" s="234" t="str">
        <f>IF(Table1[[#This Row],[Column3]]=0,"",CONCATENATE(UPPER(Table1[[#This Row],[Column3]])," ",Table1[[#This Row],[Column4]]))</f>
        <v xml:space="preserve"> </v>
      </c>
      <c r="J451" s="234" t="str">
        <f>IF(Table1[[#This Row],[Column5]]="","",INDEX(Table2[e],IF(Table1[[#This Row],[Column5]]="","",MATCH(Table1[[#This Row],[Column5]],Table2[a],0)),))</f>
        <v/>
      </c>
      <c r="K451" s="234"/>
      <c r="L451" s="234"/>
      <c r="O451" s="234" t="str">
        <f>IF(Table1[[#This Row],[h_Item Description]]="","",INDEX([1]!db[NB PAJAK],MATCH(Table1[[#This Row],[h_Item Description]],[1]!db[kode],0)))</f>
        <v/>
      </c>
      <c r="Q451" s="237"/>
      <c r="R451" s="238"/>
      <c r="S451" s="238"/>
      <c r="T451" s="237" t="str">
        <f>Table1[[#This Row],[h_hargasetelahdiskon]]</f>
        <v/>
      </c>
      <c r="V451" s="234"/>
      <c r="W451" s="234" t="str">
        <f ca="1">IF(Table1[[#This Row],[Column12]]="","",IF(Table1[[#This Row],[//]]="",INDIRECT(ADDRESS(ROW()-1,COLUMN())),Table1[[#This Row],[//]]))</f>
        <v/>
      </c>
      <c r="X451" s="234" t="str">
        <f ca="1">IF(Table1[[#This Row],[h_id]]="","",COUNTIF(Table1[h_id],Table1[[#This Row],[h_id]]))</f>
        <v/>
      </c>
      <c r="Y451" s="237" t="str">
        <f>IF(Table1[[#This Row],[Column12]]="","",Table1[[#This Row],[Qty]]*Table1[[#This Row],[Column13]])</f>
        <v/>
      </c>
      <c r="Z451" s="237" t="str">
        <f>IF(Table1[[#This Row],[h_hargasebelumdiskon]]="","",IF(Table1[[#This Row],[Column14]]="",0,Table1[[#This Row],[h_hargasebelumdiskon]]*Table1[[#This Row],[Column14]]))</f>
        <v/>
      </c>
      <c r="AA451" s="237" t="str">
        <f>IF(Table1[[#This Row],[h_hargasebelumdiskon]]="","",IF(Table1[[#This Row],[Column15]]="",0,(Table1[[#This Row],[h_hargasebelumdiskon]]-Table1[[#This Row],[h_disc 1]])*Table1[[#This Row],[Column15]]))</f>
        <v/>
      </c>
      <c r="AB451" s="237" t="str">
        <f>IF(Table1[[#This Row],[Column12]]="","",Table1[[#This Row],[h_disc 1]]+Table1[[#This Row],[h_disc 2]])</f>
        <v/>
      </c>
      <c r="AC451" s="237" t="str">
        <f>IF(Table1[[#This Row],[Column12]]="","",Table1[[#This Row],[h_hargasebelumdiskon]]-Table1[[#This Row],[h_diskon]])</f>
        <v/>
      </c>
      <c r="AD451" s="237" t="str">
        <f ca="1">IF(Table1[[#This Row],[//]]="","",SUMIF(Table1[h_id],Table1[[#This Row],[h_id]],Table1[h_hargasetelahdiskon]))</f>
        <v/>
      </c>
      <c r="AF451" s="237" t="str">
        <f>Table1[[#This Row],[Column12]]&amp;Table1[[#This Row],[Unit]]&amp;Table1[[#This Row],[Column13]]</f>
        <v/>
      </c>
      <c r="AG451"/>
      <c r="AH451"/>
      <c r="AI451"/>
    </row>
    <row r="452" spans="1:35">
      <c r="A452" s="234" t="str">
        <f ca="1">IF(Table1[[#This Row],[No. Invoice :]]="","",ROW())</f>
        <v/>
      </c>
      <c r="B452" s="234" t="str">
        <f ca="1">IF(Table1[[#This Row],[Column3]]="","",B$1+COUNT(INDIRECT("B$2:B"&amp;ROW()-1)))</f>
        <v/>
      </c>
      <c r="C452" s="235" t="str">
        <f>IF(Table1[[#This Row],[Column2]]="","",Table1[[#This Row],[Column2]]+C$1-1)</f>
        <v/>
      </c>
      <c r="E452" s="236"/>
      <c r="F452" s="234"/>
      <c r="G452" s="234" t="str">
        <f ca="1">IF(Table1[[#This Row],[h_No. Invoice :]]="","",CONCATENATE("AM"," ",Table1[[#This Row],[h_No. Invoice :]]))</f>
        <v/>
      </c>
      <c r="H452" s="234" t="str">
        <f>IF(Table1[[#This Row],[Column5]]="","",INDEX(Table2[Column1],MATCH(Table1[[#This Row],[Column5]],Table2[a],0)))</f>
        <v/>
      </c>
      <c r="I452" s="234" t="str">
        <f>IF(Table1[[#This Row],[Column3]]=0,"",CONCATENATE(UPPER(Table1[[#This Row],[Column3]])," ",Table1[[#This Row],[Column4]]))</f>
        <v xml:space="preserve"> </v>
      </c>
      <c r="J452" s="234" t="str">
        <f>IF(Table1[[#This Row],[Column5]]="","",INDEX(Table2[e],IF(Table1[[#This Row],[Column5]]="","",MATCH(Table1[[#This Row],[Column5]],Table2[a],0)),))</f>
        <v/>
      </c>
      <c r="K452" s="234"/>
      <c r="L452" s="234"/>
      <c r="O452" s="234" t="str">
        <f>IF(Table1[[#This Row],[h_Item Description]]="","",INDEX([1]!db[NB PAJAK],MATCH(Table1[[#This Row],[h_Item Description]],[1]!db[kode],0)))</f>
        <v/>
      </c>
      <c r="Q452" s="237"/>
      <c r="R452" s="238"/>
      <c r="S452" s="238"/>
      <c r="T452" s="237" t="str">
        <f>Table1[[#This Row],[h_hargasetelahdiskon]]</f>
        <v/>
      </c>
      <c r="V452" s="234"/>
      <c r="W452" s="234" t="str">
        <f ca="1">IF(Table1[[#This Row],[Column12]]="","",IF(Table1[[#This Row],[//]]="",INDIRECT(ADDRESS(ROW()-1,COLUMN())),Table1[[#This Row],[//]]))</f>
        <v/>
      </c>
      <c r="X452" s="234" t="str">
        <f ca="1">IF(Table1[[#This Row],[h_id]]="","",COUNTIF(Table1[h_id],Table1[[#This Row],[h_id]]))</f>
        <v/>
      </c>
      <c r="Y452" s="237" t="str">
        <f>IF(Table1[[#This Row],[Column12]]="","",Table1[[#This Row],[Qty]]*Table1[[#This Row],[Column13]])</f>
        <v/>
      </c>
      <c r="Z452" s="237" t="str">
        <f>IF(Table1[[#This Row],[h_hargasebelumdiskon]]="","",IF(Table1[[#This Row],[Column14]]="",0,Table1[[#This Row],[h_hargasebelumdiskon]]*Table1[[#This Row],[Column14]]))</f>
        <v/>
      </c>
      <c r="AA452" s="237" t="str">
        <f>IF(Table1[[#This Row],[h_hargasebelumdiskon]]="","",IF(Table1[[#This Row],[Column15]]="",0,(Table1[[#This Row],[h_hargasebelumdiskon]]-Table1[[#This Row],[h_disc 1]])*Table1[[#This Row],[Column15]]))</f>
        <v/>
      </c>
      <c r="AB452" s="237" t="str">
        <f>IF(Table1[[#This Row],[Column12]]="","",Table1[[#This Row],[h_disc 1]]+Table1[[#This Row],[h_disc 2]])</f>
        <v/>
      </c>
      <c r="AC452" s="237" t="str">
        <f>IF(Table1[[#This Row],[Column12]]="","",Table1[[#This Row],[h_hargasebelumdiskon]]-Table1[[#This Row],[h_diskon]])</f>
        <v/>
      </c>
      <c r="AD452" s="237" t="str">
        <f ca="1">IF(Table1[[#This Row],[//]]="","",SUMIF(Table1[h_id],Table1[[#This Row],[h_id]],Table1[h_hargasetelahdiskon]))</f>
        <v/>
      </c>
      <c r="AF452" s="237" t="str">
        <f>Table1[[#This Row],[Column12]]&amp;Table1[[#This Row],[Unit]]&amp;Table1[[#This Row],[Column13]]</f>
        <v/>
      </c>
      <c r="AG452"/>
      <c r="AH452"/>
      <c r="AI452"/>
    </row>
    <row r="453" spans="1:35">
      <c r="A453" s="234" t="str">
        <f ca="1">IF(Table1[[#This Row],[No. Invoice :]]="","",ROW())</f>
        <v/>
      </c>
      <c r="B453" s="234" t="str">
        <f ca="1">IF(Table1[[#This Row],[Column3]]="","",B$1+COUNT(INDIRECT("B$2:B"&amp;ROW()-1)))</f>
        <v/>
      </c>
      <c r="C453" s="235" t="str">
        <f>IF(Table1[[#This Row],[Column2]]="","",Table1[[#This Row],[Column2]]+C$1-1)</f>
        <v/>
      </c>
      <c r="E453" s="236"/>
      <c r="F453" s="234"/>
      <c r="G453" s="234" t="str">
        <f ca="1">IF(Table1[[#This Row],[h_No. Invoice :]]="","",CONCATENATE("AM"," ",Table1[[#This Row],[h_No. Invoice :]]))</f>
        <v/>
      </c>
      <c r="H453" s="234" t="str">
        <f>IF(Table1[[#This Row],[Column5]]="","",INDEX(Table2[Column1],MATCH(Table1[[#This Row],[Column5]],Table2[a],0)))</f>
        <v/>
      </c>
      <c r="I453" s="234" t="str">
        <f>IF(Table1[[#This Row],[Column3]]=0,"",CONCATENATE(UPPER(Table1[[#This Row],[Column3]])," ",Table1[[#This Row],[Column4]]))</f>
        <v xml:space="preserve"> </v>
      </c>
      <c r="J453" s="234" t="str">
        <f>IF(Table1[[#This Row],[Column5]]="","",INDEX(Table2[e],IF(Table1[[#This Row],[Column5]]="","",MATCH(Table1[[#This Row],[Column5]],Table2[a],0)),))</f>
        <v/>
      </c>
      <c r="K453" s="234"/>
      <c r="L453" s="234"/>
      <c r="O453" s="234" t="str">
        <f>IF(Table1[[#This Row],[h_Item Description]]="","",INDEX([1]!db[NB PAJAK],MATCH(Table1[[#This Row],[h_Item Description]],[1]!db[kode],0)))</f>
        <v/>
      </c>
      <c r="Q453" s="237"/>
      <c r="R453" s="238"/>
      <c r="S453" s="238"/>
      <c r="T453" s="237" t="str">
        <f>Table1[[#This Row],[h_hargasetelahdiskon]]</f>
        <v/>
      </c>
      <c r="V453" s="234"/>
      <c r="W453" s="234" t="str">
        <f ca="1">IF(Table1[[#This Row],[Column12]]="","",IF(Table1[[#This Row],[//]]="",INDIRECT(ADDRESS(ROW()-1,COLUMN())),Table1[[#This Row],[//]]))</f>
        <v/>
      </c>
      <c r="X453" s="234" t="str">
        <f ca="1">IF(Table1[[#This Row],[h_id]]="","",COUNTIF(Table1[h_id],Table1[[#This Row],[h_id]]))</f>
        <v/>
      </c>
      <c r="Y453" s="237" t="str">
        <f>IF(Table1[[#This Row],[Column12]]="","",Table1[[#This Row],[Qty]]*Table1[[#This Row],[Column13]])</f>
        <v/>
      </c>
      <c r="Z453" s="237" t="str">
        <f>IF(Table1[[#This Row],[h_hargasebelumdiskon]]="","",IF(Table1[[#This Row],[Column14]]="",0,Table1[[#This Row],[h_hargasebelumdiskon]]*Table1[[#This Row],[Column14]]))</f>
        <v/>
      </c>
      <c r="AA453" s="237" t="str">
        <f>IF(Table1[[#This Row],[h_hargasebelumdiskon]]="","",IF(Table1[[#This Row],[Column15]]="",0,(Table1[[#This Row],[h_hargasebelumdiskon]]-Table1[[#This Row],[h_disc 1]])*Table1[[#This Row],[Column15]]))</f>
        <v/>
      </c>
      <c r="AB453" s="237" t="str">
        <f>IF(Table1[[#This Row],[Column12]]="","",Table1[[#This Row],[h_disc 1]]+Table1[[#This Row],[h_disc 2]])</f>
        <v/>
      </c>
      <c r="AC453" s="237" t="str">
        <f>IF(Table1[[#This Row],[Column12]]="","",Table1[[#This Row],[h_hargasebelumdiskon]]-Table1[[#This Row],[h_diskon]])</f>
        <v/>
      </c>
      <c r="AD453" s="237" t="str">
        <f ca="1">IF(Table1[[#This Row],[//]]="","",SUMIF(Table1[h_id],Table1[[#This Row],[h_id]],Table1[h_hargasetelahdiskon]))</f>
        <v/>
      </c>
      <c r="AF453" s="237" t="str">
        <f>Table1[[#This Row],[Column12]]&amp;Table1[[#This Row],[Unit]]&amp;Table1[[#This Row],[Column13]]</f>
        <v/>
      </c>
      <c r="AG453"/>
      <c r="AH453"/>
      <c r="AI453"/>
    </row>
    <row r="454" spans="1:35">
      <c r="A454" s="234" t="str">
        <f ca="1">IF(Table1[[#This Row],[No. Invoice :]]="","",ROW())</f>
        <v/>
      </c>
      <c r="B454" s="234" t="str">
        <f ca="1">IF(Table1[[#This Row],[Column3]]="","",B$1+COUNT(INDIRECT("B$2:B"&amp;ROW()-1)))</f>
        <v/>
      </c>
      <c r="C454" s="235" t="str">
        <f>IF(Table1[[#This Row],[Column2]]="","",Table1[[#This Row],[Column2]]+C$1-1)</f>
        <v/>
      </c>
      <c r="E454" s="236"/>
      <c r="F454" s="234"/>
      <c r="G454" s="234" t="str">
        <f ca="1">IF(Table1[[#This Row],[h_No. Invoice :]]="","",CONCATENATE("AM"," ",Table1[[#This Row],[h_No. Invoice :]]))</f>
        <v/>
      </c>
      <c r="H454" s="234" t="str">
        <f>IF(Table1[[#This Row],[Column5]]="","",INDEX(Table2[Column1],MATCH(Table1[[#This Row],[Column5]],Table2[a],0)))</f>
        <v/>
      </c>
      <c r="I454" s="234" t="str">
        <f>IF(Table1[[#This Row],[Column3]]=0,"",CONCATENATE(UPPER(Table1[[#This Row],[Column3]])," ",Table1[[#This Row],[Column4]]))</f>
        <v xml:space="preserve"> </v>
      </c>
      <c r="J454" s="234" t="str">
        <f>IF(Table1[[#This Row],[Column5]]="","",INDEX(Table2[e],IF(Table1[[#This Row],[Column5]]="","",MATCH(Table1[[#This Row],[Column5]],Table2[a],0)),))</f>
        <v/>
      </c>
      <c r="K454" s="234"/>
      <c r="L454" s="234"/>
      <c r="O454" s="234" t="str">
        <f>IF(Table1[[#This Row],[h_Item Description]]="","",INDEX([1]!db[NB PAJAK],MATCH(Table1[[#This Row],[h_Item Description]],[1]!db[kode],0)))</f>
        <v/>
      </c>
      <c r="Q454" s="237"/>
      <c r="R454" s="238"/>
      <c r="S454" s="238"/>
      <c r="T454" s="237" t="str">
        <f>Table1[[#This Row],[h_hargasetelahdiskon]]</f>
        <v/>
      </c>
      <c r="V454" s="234"/>
      <c r="W454" s="234" t="str">
        <f ca="1">IF(Table1[[#This Row],[Column12]]="","",IF(Table1[[#This Row],[//]]="",INDIRECT(ADDRESS(ROW()-1,COLUMN())),Table1[[#This Row],[//]]))</f>
        <v/>
      </c>
      <c r="X454" s="234" t="str">
        <f ca="1">IF(Table1[[#This Row],[h_id]]="","",COUNTIF(Table1[h_id],Table1[[#This Row],[h_id]]))</f>
        <v/>
      </c>
      <c r="Y454" s="237" t="str">
        <f>IF(Table1[[#This Row],[Column12]]="","",Table1[[#This Row],[Qty]]*Table1[[#This Row],[Column13]])</f>
        <v/>
      </c>
      <c r="Z454" s="237" t="str">
        <f>IF(Table1[[#This Row],[h_hargasebelumdiskon]]="","",IF(Table1[[#This Row],[Column14]]="",0,Table1[[#This Row],[h_hargasebelumdiskon]]*Table1[[#This Row],[Column14]]))</f>
        <v/>
      </c>
      <c r="AA454" s="237" t="str">
        <f>IF(Table1[[#This Row],[h_hargasebelumdiskon]]="","",IF(Table1[[#This Row],[Column15]]="",0,(Table1[[#This Row],[h_hargasebelumdiskon]]-Table1[[#This Row],[h_disc 1]])*Table1[[#This Row],[Column15]]))</f>
        <v/>
      </c>
      <c r="AB454" s="237" t="str">
        <f>IF(Table1[[#This Row],[Column12]]="","",Table1[[#This Row],[h_disc 1]]+Table1[[#This Row],[h_disc 2]])</f>
        <v/>
      </c>
      <c r="AC454" s="237" t="str">
        <f>IF(Table1[[#This Row],[Column12]]="","",Table1[[#This Row],[h_hargasebelumdiskon]]-Table1[[#This Row],[h_diskon]])</f>
        <v/>
      </c>
      <c r="AD454" s="237" t="str">
        <f ca="1">IF(Table1[[#This Row],[//]]="","",SUMIF(Table1[h_id],Table1[[#This Row],[h_id]],Table1[h_hargasetelahdiskon]))</f>
        <v/>
      </c>
      <c r="AF454" s="237" t="str">
        <f>Table1[[#This Row],[Column12]]&amp;Table1[[#This Row],[Unit]]&amp;Table1[[#This Row],[Column13]]</f>
        <v/>
      </c>
      <c r="AG454"/>
      <c r="AH454"/>
      <c r="AI454"/>
    </row>
    <row r="455" spans="1:35">
      <c r="A455" s="234" t="str">
        <f ca="1">IF(Table1[[#This Row],[No. Invoice :]]="","",ROW())</f>
        <v/>
      </c>
      <c r="B455" s="234" t="str">
        <f ca="1">IF(Table1[[#This Row],[Column3]]="","",B$1+COUNT(INDIRECT("B$2:B"&amp;ROW()-1)))</f>
        <v/>
      </c>
      <c r="C455" s="235" t="str">
        <f>IF(Table1[[#This Row],[Column2]]="","",Table1[[#This Row],[Column2]]+C$1-1)</f>
        <v/>
      </c>
      <c r="E455" s="236"/>
      <c r="F455" s="234"/>
      <c r="G455" s="234" t="str">
        <f ca="1">IF(Table1[[#This Row],[h_No. Invoice :]]="","",CONCATENATE("AM"," ",Table1[[#This Row],[h_No. Invoice :]]))</f>
        <v/>
      </c>
      <c r="H455" s="234" t="str">
        <f>IF(Table1[[#This Row],[Column5]]="","",INDEX(Table2[Column1],MATCH(Table1[[#This Row],[Column5]],Table2[a],0)))</f>
        <v/>
      </c>
      <c r="I455" s="234" t="str">
        <f>IF(Table1[[#This Row],[Column3]]=0,"",CONCATENATE(UPPER(Table1[[#This Row],[Column3]])," ",Table1[[#This Row],[Column4]]))</f>
        <v xml:space="preserve"> </v>
      </c>
      <c r="J455" s="234" t="str">
        <f>IF(Table1[[#This Row],[Column5]]="","",INDEX(Table2[e],IF(Table1[[#This Row],[Column5]]="","",MATCH(Table1[[#This Row],[Column5]],Table2[a],0)),))</f>
        <v/>
      </c>
      <c r="K455" s="234"/>
      <c r="L455" s="234"/>
      <c r="O455" s="234" t="str">
        <f>IF(Table1[[#This Row],[h_Item Description]]="","",INDEX([1]!db[NB PAJAK],MATCH(Table1[[#This Row],[h_Item Description]],[1]!db[kode],0)))</f>
        <v/>
      </c>
      <c r="Q455" s="237"/>
      <c r="R455" s="238"/>
      <c r="S455" s="238"/>
      <c r="T455" s="237" t="str">
        <f>Table1[[#This Row],[h_hargasetelahdiskon]]</f>
        <v/>
      </c>
      <c r="V455" s="234"/>
      <c r="W455" s="234" t="str">
        <f ca="1">IF(Table1[[#This Row],[Column12]]="","",IF(Table1[[#This Row],[//]]="",INDIRECT(ADDRESS(ROW()-1,COLUMN())),Table1[[#This Row],[//]]))</f>
        <v/>
      </c>
      <c r="X455" s="234" t="str">
        <f ca="1">IF(Table1[[#This Row],[h_id]]="","",COUNTIF(Table1[h_id],Table1[[#This Row],[h_id]]))</f>
        <v/>
      </c>
      <c r="Y455" s="237" t="str">
        <f>IF(Table1[[#This Row],[Column12]]="","",Table1[[#This Row],[Qty]]*Table1[[#This Row],[Column13]])</f>
        <v/>
      </c>
      <c r="Z455" s="237" t="str">
        <f>IF(Table1[[#This Row],[h_hargasebelumdiskon]]="","",IF(Table1[[#This Row],[Column14]]="",0,Table1[[#This Row],[h_hargasebelumdiskon]]*Table1[[#This Row],[Column14]]))</f>
        <v/>
      </c>
      <c r="AA455" s="237" t="str">
        <f>IF(Table1[[#This Row],[h_hargasebelumdiskon]]="","",IF(Table1[[#This Row],[Column15]]="",0,(Table1[[#This Row],[h_hargasebelumdiskon]]-Table1[[#This Row],[h_disc 1]])*Table1[[#This Row],[Column15]]))</f>
        <v/>
      </c>
      <c r="AB455" s="237" t="str">
        <f>IF(Table1[[#This Row],[Column12]]="","",Table1[[#This Row],[h_disc 1]]+Table1[[#This Row],[h_disc 2]])</f>
        <v/>
      </c>
      <c r="AC455" s="237" t="str">
        <f>IF(Table1[[#This Row],[Column12]]="","",Table1[[#This Row],[h_hargasebelumdiskon]]-Table1[[#This Row],[h_diskon]])</f>
        <v/>
      </c>
      <c r="AD455" s="237" t="str">
        <f ca="1">IF(Table1[[#This Row],[//]]="","",SUMIF(Table1[h_id],Table1[[#This Row],[h_id]],Table1[h_hargasetelahdiskon]))</f>
        <v/>
      </c>
      <c r="AF455" s="237" t="str">
        <f>Table1[[#This Row],[Column12]]&amp;Table1[[#This Row],[Unit]]&amp;Table1[[#This Row],[Column13]]</f>
        <v/>
      </c>
      <c r="AG455"/>
      <c r="AH455"/>
      <c r="AI455"/>
    </row>
    <row r="456" spans="1:35">
      <c r="A456" s="234" t="str">
        <f ca="1">IF(Table1[[#This Row],[No. Invoice :]]="","",ROW())</f>
        <v/>
      </c>
      <c r="B456" s="234" t="str">
        <f ca="1">IF(Table1[[#This Row],[Column3]]="","",B$1+COUNT(INDIRECT("B$2:B"&amp;ROW()-1)))</f>
        <v/>
      </c>
      <c r="C456" s="235" t="str">
        <f>IF(Table1[[#This Row],[Column2]]="","",Table1[[#This Row],[Column2]]+C$1-1)</f>
        <v/>
      </c>
      <c r="E456" s="236"/>
      <c r="F456" s="234"/>
      <c r="G456" s="234" t="str">
        <f ca="1">IF(Table1[[#This Row],[h_No. Invoice :]]="","",CONCATENATE("AM"," ",Table1[[#This Row],[h_No. Invoice :]]))</f>
        <v/>
      </c>
      <c r="H456" s="234" t="str">
        <f>IF(Table1[[#This Row],[Column5]]="","",INDEX(Table2[Column1],MATCH(Table1[[#This Row],[Column5]],Table2[a],0)))</f>
        <v/>
      </c>
      <c r="I456" s="234" t="str">
        <f>IF(Table1[[#This Row],[Column3]]=0,"",CONCATENATE(UPPER(Table1[[#This Row],[Column3]])," ",Table1[[#This Row],[Column4]]))</f>
        <v xml:space="preserve"> </v>
      </c>
      <c r="J456" s="234" t="str">
        <f>IF(Table1[[#This Row],[Column5]]="","",INDEX(Table2[e],IF(Table1[[#This Row],[Column5]]="","",MATCH(Table1[[#This Row],[Column5]],Table2[a],0)),))</f>
        <v/>
      </c>
      <c r="K456" s="234"/>
      <c r="L456" s="234"/>
      <c r="O456" s="234" t="str">
        <f>IF(Table1[[#This Row],[h_Item Description]]="","",INDEX([1]!db[NB PAJAK],MATCH(Table1[[#This Row],[h_Item Description]],[1]!db[kode],0)))</f>
        <v/>
      </c>
      <c r="Q456" s="237"/>
      <c r="R456" s="238"/>
      <c r="S456" s="238"/>
      <c r="T456" s="237" t="str">
        <f>Table1[[#This Row],[h_hargasetelahdiskon]]</f>
        <v/>
      </c>
      <c r="V456" s="234"/>
      <c r="W456" s="234" t="str">
        <f ca="1">IF(Table1[[#This Row],[Column12]]="","",IF(Table1[[#This Row],[//]]="",INDIRECT(ADDRESS(ROW()-1,COLUMN())),Table1[[#This Row],[//]]))</f>
        <v/>
      </c>
      <c r="X456" s="234" t="str">
        <f ca="1">IF(Table1[[#This Row],[h_id]]="","",COUNTIF(Table1[h_id],Table1[[#This Row],[h_id]]))</f>
        <v/>
      </c>
      <c r="Y456" s="237" t="str">
        <f>IF(Table1[[#This Row],[Column12]]="","",Table1[[#This Row],[Qty]]*Table1[[#This Row],[Column13]])</f>
        <v/>
      </c>
      <c r="Z456" s="237" t="str">
        <f>IF(Table1[[#This Row],[h_hargasebelumdiskon]]="","",IF(Table1[[#This Row],[Column14]]="",0,Table1[[#This Row],[h_hargasebelumdiskon]]*Table1[[#This Row],[Column14]]))</f>
        <v/>
      </c>
      <c r="AA456" s="237" t="str">
        <f>IF(Table1[[#This Row],[h_hargasebelumdiskon]]="","",IF(Table1[[#This Row],[Column15]]="",0,(Table1[[#This Row],[h_hargasebelumdiskon]]-Table1[[#This Row],[h_disc 1]])*Table1[[#This Row],[Column15]]))</f>
        <v/>
      </c>
      <c r="AB456" s="237" t="str">
        <f>IF(Table1[[#This Row],[Column12]]="","",Table1[[#This Row],[h_disc 1]]+Table1[[#This Row],[h_disc 2]])</f>
        <v/>
      </c>
      <c r="AC456" s="237" t="str">
        <f>IF(Table1[[#This Row],[Column12]]="","",Table1[[#This Row],[h_hargasebelumdiskon]]-Table1[[#This Row],[h_diskon]])</f>
        <v/>
      </c>
      <c r="AD456" s="237" t="str">
        <f ca="1">IF(Table1[[#This Row],[//]]="","",SUMIF(Table1[h_id],Table1[[#This Row],[h_id]],Table1[h_hargasetelahdiskon]))</f>
        <v/>
      </c>
      <c r="AF456" s="237" t="str">
        <f>Table1[[#This Row],[Column12]]&amp;Table1[[#This Row],[Unit]]&amp;Table1[[#This Row],[Column13]]</f>
        <v/>
      </c>
      <c r="AG456"/>
      <c r="AH456"/>
      <c r="AI456"/>
    </row>
    <row r="457" spans="1:35">
      <c r="A457" s="234" t="str">
        <f ca="1">IF(Table1[[#This Row],[No. Invoice :]]="","",ROW())</f>
        <v/>
      </c>
      <c r="B457" s="234" t="str">
        <f ca="1">IF(Table1[[#This Row],[Column3]]="","",B$1+COUNT(INDIRECT("B$2:B"&amp;ROW()-1)))</f>
        <v/>
      </c>
      <c r="C457" s="235" t="str">
        <f>IF(Table1[[#This Row],[Column2]]="","",Table1[[#This Row],[Column2]]+C$1-1)</f>
        <v/>
      </c>
      <c r="E457" s="236"/>
      <c r="F457" s="234"/>
      <c r="G457" s="234" t="str">
        <f ca="1">IF(Table1[[#This Row],[h_No. Invoice :]]="","",CONCATENATE("AM"," ",Table1[[#This Row],[h_No. Invoice :]]))</f>
        <v/>
      </c>
      <c r="H457" s="234" t="str">
        <f>IF(Table1[[#This Row],[Column5]]="","",INDEX(Table2[Column1],MATCH(Table1[[#This Row],[Column5]],Table2[a],0)))</f>
        <v/>
      </c>
      <c r="I457" s="234" t="str">
        <f>IF(Table1[[#This Row],[Column3]]=0,"",CONCATENATE(UPPER(Table1[[#This Row],[Column3]])," ",Table1[[#This Row],[Column4]]))</f>
        <v xml:space="preserve"> </v>
      </c>
      <c r="J457" s="234" t="str">
        <f>IF(Table1[[#This Row],[Column5]]="","",INDEX(Table2[e],IF(Table1[[#This Row],[Column5]]="","",MATCH(Table1[[#This Row],[Column5]],Table2[a],0)),))</f>
        <v/>
      </c>
      <c r="K457" s="234"/>
      <c r="L457" s="234"/>
      <c r="O457" s="234" t="str">
        <f>IF(Table1[[#This Row],[h_Item Description]]="","",INDEX([1]!db[NB PAJAK],MATCH(Table1[[#This Row],[h_Item Description]],[1]!db[kode],0)))</f>
        <v/>
      </c>
      <c r="Q457" s="237"/>
      <c r="R457" s="238"/>
      <c r="S457" s="238"/>
      <c r="T457" s="237" t="str">
        <f>Table1[[#This Row],[h_hargasetelahdiskon]]</f>
        <v/>
      </c>
      <c r="V457" s="234"/>
      <c r="W457" s="234" t="str">
        <f ca="1">IF(Table1[[#This Row],[Column12]]="","",IF(Table1[[#This Row],[//]]="",INDIRECT(ADDRESS(ROW()-1,COLUMN())),Table1[[#This Row],[//]]))</f>
        <v/>
      </c>
      <c r="X457" s="234" t="str">
        <f ca="1">IF(Table1[[#This Row],[h_id]]="","",COUNTIF(Table1[h_id],Table1[[#This Row],[h_id]]))</f>
        <v/>
      </c>
      <c r="Y457" s="237" t="str">
        <f>IF(Table1[[#This Row],[Column12]]="","",Table1[[#This Row],[Qty]]*Table1[[#This Row],[Column13]])</f>
        <v/>
      </c>
      <c r="Z457" s="237" t="str">
        <f>IF(Table1[[#This Row],[h_hargasebelumdiskon]]="","",IF(Table1[[#This Row],[Column14]]="",0,Table1[[#This Row],[h_hargasebelumdiskon]]*Table1[[#This Row],[Column14]]))</f>
        <v/>
      </c>
      <c r="AA457" s="237" t="str">
        <f>IF(Table1[[#This Row],[h_hargasebelumdiskon]]="","",IF(Table1[[#This Row],[Column15]]="",0,(Table1[[#This Row],[h_hargasebelumdiskon]]-Table1[[#This Row],[h_disc 1]])*Table1[[#This Row],[Column15]]))</f>
        <v/>
      </c>
      <c r="AB457" s="237" t="str">
        <f>IF(Table1[[#This Row],[Column12]]="","",Table1[[#This Row],[h_disc 1]]+Table1[[#This Row],[h_disc 2]])</f>
        <v/>
      </c>
      <c r="AC457" s="237" t="str">
        <f>IF(Table1[[#This Row],[Column12]]="","",Table1[[#This Row],[h_hargasebelumdiskon]]-Table1[[#This Row],[h_diskon]])</f>
        <v/>
      </c>
      <c r="AD457" s="237" t="str">
        <f ca="1">IF(Table1[[#This Row],[//]]="","",SUMIF(Table1[h_id],Table1[[#This Row],[h_id]],Table1[h_hargasetelahdiskon]))</f>
        <v/>
      </c>
      <c r="AF457" s="237" t="str">
        <f>Table1[[#This Row],[Column12]]&amp;Table1[[#This Row],[Unit]]&amp;Table1[[#This Row],[Column13]]</f>
        <v/>
      </c>
      <c r="AG457"/>
      <c r="AH457"/>
      <c r="AI457"/>
    </row>
    <row r="458" spans="1:35">
      <c r="A458" s="234" t="str">
        <f ca="1">IF(Table1[[#This Row],[No. Invoice :]]="","",ROW())</f>
        <v/>
      </c>
      <c r="B458" s="234" t="str">
        <f ca="1">IF(Table1[[#This Row],[Column3]]="","",B$1+COUNT(INDIRECT("B$2:B"&amp;ROW()-1)))</f>
        <v/>
      </c>
      <c r="C458" s="235" t="str">
        <f>IF(Table1[[#This Row],[Column2]]="","",Table1[[#This Row],[Column2]]+C$1-1)</f>
        <v/>
      </c>
      <c r="E458" s="236"/>
      <c r="F458" s="234"/>
      <c r="G458" s="234" t="str">
        <f ca="1">IF(Table1[[#This Row],[h_No. Invoice :]]="","",CONCATENATE("AM"," ",Table1[[#This Row],[h_No. Invoice :]]))</f>
        <v/>
      </c>
      <c r="H458" s="234" t="str">
        <f>IF(Table1[[#This Row],[Column5]]="","",INDEX(Table2[Column1],MATCH(Table1[[#This Row],[Column5]],Table2[a],0)))</f>
        <v/>
      </c>
      <c r="I458" s="234" t="str">
        <f>IF(Table1[[#This Row],[Column3]]=0,"",CONCATENATE(UPPER(Table1[[#This Row],[Column3]])," ",Table1[[#This Row],[Column4]]))</f>
        <v xml:space="preserve"> </v>
      </c>
      <c r="J458" s="234" t="str">
        <f>IF(Table1[[#This Row],[Column5]]="","",INDEX(Table2[e],IF(Table1[[#This Row],[Column5]]="","",MATCH(Table1[[#This Row],[Column5]],Table2[a],0)),))</f>
        <v/>
      </c>
      <c r="K458" s="234"/>
      <c r="L458" s="234"/>
      <c r="O458" s="234" t="str">
        <f>IF(Table1[[#This Row],[h_Item Description]]="","",INDEX([1]!db[NB PAJAK],MATCH(Table1[[#This Row],[h_Item Description]],[1]!db[kode],0)))</f>
        <v/>
      </c>
      <c r="Q458" s="237"/>
      <c r="R458" s="238"/>
      <c r="S458" s="238"/>
      <c r="T458" s="237" t="str">
        <f>Table1[[#This Row],[h_hargasetelahdiskon]]</f>
        <v/>
      </c>
      <c r="V458" s="234"/>
      <c r="W458" s="234" t="str">
        <f ca="1">IF(Table1[[#This Row],[Column12]]="","",IF(Table1[[#This Row],[//]]="",INDIRECT(ADDRESS(ROW()-1,COLUMN())),Table1[[#This Row],[//]]))</f>
        <v/>
      </c>
      <c r="X458" s="234" t="str">
        <f ca="1">IF(Table1[[#This Row],[h_id]]="","",COUNTIF(Table1[h_id],Table1[[#This Row],[h_id]]))</f>
        <v/>
      </c>
      <c r="Y458" s="237" t="str">
        <f>IF(Table1[[#This Row],[Column12]]="","",Table1[[#This Row],[Qty]]*Table1[[#This Row],[Column13]])</f>
        <v/>
      </c>
      <c r="Z458" s="237" t="str">
        <f>IF(Table1[[#This Row],[h_hargasebelumdiskon]]="","",IF(Table1[[#This Row],[Column14]]="",0,Table1[[#This Row],[h_hargasebelumdiskon]]*Table1[[#This Row],[Column14]]))</f>
        <v/>
      </c>
      <c r="AA458" s="237" t="str">
        <f>IF(Table1[[#This Row],[h_hargasebelumdiskon]]="","",IF(Table1[[#This Row],[Column15]]="",0,(Table1[[#This Row],[h_hargasebelumdiskon]]-Table1[[#This Row],[h_disc 1]])*Table1[[#This Row],[Column15]]))</f>
        <v/>
      </c>
      <c r="AB458" s="237" t="str">
        <f>IF(Table1[[#This Row],[Column12]]="","",Table1[[#This Row],[h_disc 1]]+Table1[[#This Row],[h_disc 2]])</f>
        <v/>
      </c>
      <c r="AC458" s="237" t="str">
        <f>IF(Table1[[#This Row],[Column12]]="","",Table1[[#This Row],[h_hargasebelumdiskon]]-Table1[[#This Row],[h_diskon]])</f>
        <v/>
      </c>
      <c r="AD458" s="237" t="str">
        <f ca="1">IF(Table1[[#This Row],[//]]="","",SUMIF(Table1[h_id],Table1[[#This Row],[h_id]],Table1[h_hargasetelahdiskon]))</f>
        <v/>
      </c>
      <c r="AF458" s="237" t="str">
        <f>Table1[[#This Row],[Column12]]&amp;Table1[[#This Row],[Unit]]&amp;Table1[[#This Row],[Column13]]</f>
        <v/>
      </c>
      <c r="AG458"/>
      <c r="AH458"/>
      <c r="AI458"/>
    </row>
    <row r="459" spans="1:35">
      <c r="A459" s="234" t="str">
        <f ca="1">IF(Table1[[#This Row],[No. Invoice :]]="","",ROW())</f>
        <v/>
      </c>
      <c r="B459" s="234" t="str">
        <f ca="1">IF(Table1[[#This Row],[Column3]]="","",B$1+COUNT(INDIRECT("B$2:B"&amp;ROW()-1)))</f>
        <v/>
      </c>
      <c r="C459" s="235" t="str">
        <f>IF(Table1[[#This Row],[Column2]]="","",Table1[[#This Row],[Column2]]+C$1-1)</f>
        <v/>
      </c>
      <c r="E459" s="236"/>
      <c r="F459" s="234"/>
      <c r="G459" s="234" t="str">
        <f ca="1">IF(Table1[[#This Row],[h_No. Invoice :]]="","",CONCATENATE("AM"," ",Table1[[#This Row],[h_No. Invoice :]]))</f>
        <v/>
      </c>
      <c r="H459" s="234" t="str">
        <f>IF(Table1[[#This Row],[Column5]]="","",INDEX(Table2[Column1],MATCH(Table1[[#This Row],[Column5]],Table2[a],0)))</f>
        <v/>
      </c>
      <c r="I459" s="234" t="str">
        <f>IF(Table1[[#This Row],[Column3]]=0,"",CONCATENATE(UPPER(Table1[[#This Row],[Column3]])," ",Table1[[#This Row],[Column4]]))</f>
        <v xml:space="preserve"> </v>
      </c>
      <c r="J459" s="234" t="str">
        <f>IF(Table1[[#This Row],[Column5]]="","",INDEX(Table2[e],IF(Table1[[#This Row],[Column5]]="","",MATCH(Table1[[#This Row],[Column5]],Table2[a],0)),))</f>
        <v/>
      </c>
      <c r="K459" s="234"/>
      <c r="L459" s="234"/>
      <c r="O459" s="234" t="str">
        <f>IF(Table1[[#This Row],[h_Item Description]]="","",INDEX([1]!db[NB PAJAK],MATCH(Table1[[#This Row],[h_Item Description]],[1]!db[kode],0)))</f>
        <v/>
      </c>
      <c r="Q459" s="237"/>
      <c r="R459" s="238"/>
      <c r="S459" s="238"/>
      <c r="T459" s="237" t="str">
        <f>Table1[[#This Row],[h_hargasetelahdiskon]]</f>
        <v/>
      </c>
      <c r="V459" s="234"/>
      <c r="W459" s="234" t="str">
        <f ca="1">IF(Table1[[#This Row],[Column12]]="","",IF(Table1[[#This Row],[//]]="",INDIRECT(ADDRESS(ROW()-1,COLUMN())),Table1[[#This Row],[//]]))</f>
        <v/>
      </c>
      <c r="X459" s="234" t="str">
        <f ca="1">IF(Table1[[#This Row],[h_id]]="","",COUNTIF(Table1[h_id],Table1[[#This Row],[h_id]]))</f>
        <v/>
      </c>
      <c r="Y459" s="237" t="str">
        <f>IF(Table1[[#This Row],[Column12]]="","",Table1[[#This Row],[Qty]]*Table1[[#This Row],[Column13]])</f>
        <v/>
      </c>
      <c r="Z459" s="237" t="str">
        <f>IF(Table1[[#This Row],[h_hargasebelumdiskon]]="","",IF(Table1[[#This Row],[Column14]]="",0,Table1[[#This Row],[h_hargasebelumdiskon]]*Table1[[#This Row],[Column14]]))</f>
        <v/>
      </c>
      <c r="AA459" s="237" t="str">
        <f>IF(Table1[[#This Row],[h_hargasebelumdiskon]]="","",IF(Table1[[#This Row],[Column15]]="",0,(Table1[[#This Row],[h_hargasebelumdiskon]]-Table1[[#This Row],[h_disc 1]])*Table1[[#This Row],[Column15]]))</f>
        <v/>
      </c>
      <c r="AB459" s="237" t="str">
        <f>IF(Table1[[#This Row],[Column12]]="","",Table1[[#This Row],[h_disc 1]]+Table1[[#This Row],[h_disc 2]])</f>
        <v/>
      </c>
      <c r="AC459" s="237" t="str">
        <f>IF(Table1[[#This Row],[Column12]]="","",Table1[[#This Row],[h_hargasebelumdiskon]]-Table1[[#This Row],[h_diskon]])</f>
        <v/>
      </c>
      <c r="AD459" s="237" t="str">
        <f ca="1">IF(Table1[[#This Row],[//]]="","",SUMIF(Table1[h_id],Table1[[#This Row],[h_id]],Table1[h_hargasetelahdiskon]))</f>
        <v/>
      </c>
      <c r="AF459" s="237" t="str">
        <f>Table1[[#This Row],[Column12]]&amp;Table1[[#This Row],[Unit]]&amp;Table1[[#This Row],[Column13]]</f>
        <v/>
      </c>
      <c r="AG459"/>
      <c r="AH459"/>
      <c r="AI459"/>
    </row>
    <row r="460" spans="1:35">
      <c r="A460" s="234" t="str">
        <f ca="1">IF(Table1[[#This Row],[No. Invoice :]]="","",ROW())</f>
        <v/>
      </c>
      <c r="B460" s="234" t="str">
        <f ca="1">IF(Table1[[#This Row],[Column3]]="","",B$1+COUNT(INDIRECT("B$2:B"&amp;ROW()-1)))</f>
        <v/>
      </c>
      <c r="C460" s="235" t="str">
        <f>IF(Table1[[#This Row],[Column2]]="","",Table1[[#This Row],[Column2]]+C$1-1)</f>
        <v/>
      </c>
      <c r="E460" s="236"/>
      <c r="F460" s="234"/>
      <c r="G460" s="234" t="str">
        <f ca="1">IF(Table1[[#This Row],[h_No. Invoice :]]="","",CONCATENATE("AM"," ",Table1[[#This Row],[h_No. Invoice :]]))</f>
        <v/>
      </c>
      <c r="H460" s="234" t="str">
        <f>IF(Table1[[#This Row],[Column5]]="","",INDEX(Table2[Column1],MATCH(Table1[[#This Row],[Column5]],Table2[a],0)))</f>
        <v/>
      </c>
      <c r="I460" s="234" t="str">
        <f>IF(Table1[[#This Row],[Column3]]=0,"",CONCATENATE(UPPER(Table1[[#This Row],[Column3]])," ",Table1[[#This Row],[Column4]]))</f>
        <v xml:space="preserve"> </v>
      </c>
      <c r="J460" s="234" t="str">
        <f>IF(Table1[[#This Row],[Column5]]="","",INDEX(Table2[e],IF(Table1[[#This Row],[Column5]]="","",MATCH(Table1[[#This Row],[Column5]],Table2[a],0)),))</f>
        <v/>
      </c>
      <c r="K460" s="234"/>
      <c r="L460" s="234"/>
      <c r="O460" s="234" t="str">
        <f>IF(Table1[[#This Row],[h_Item Description]]="","",INDEX([1]!db[NB PAJAK],MATCH(Table1[[#This Row],[h_Item Description]],[1]!db[kode],0)))</f>
        <v/>
      </c>
      <c r="P460" s="415"/>
      <c r="Q460" s="237"/>
      <c r="R460" s="238"/>
      <c r="S460" s="238"/>
      <c r="T460" s="237" t="str">
        <f>Table1[[#This Row],[h_hargasetelahdiskon]]</f>
        <v/>
      </c>
      <c r="V460" s="234"/>
      <c r="W460" s="234" t="str">
        <f ca="1">IF(Table1[[#This Row],[Column12]]="","",IF(Table1[[#This Row],[//]]="",INDIRECT(ADDRESS(ROW()-1,COLUMN())),Table1[[#This Row],[//]]))</f>
        <v/>
      </c>
      <c r="X460" s="234" t="str">
        <f ca="1">IF(Table1[[#This Row],[h_id]]="","",COUNTIF(Table1[h_id],Table1[[#This Row],[h_id]]))</f>
        <v/>
      </c>
      <c r="Y460" s="237" t="str">
        <f>IF(Table1[[#This Row],[Column12]]="","",Table1[[#This Row],[Qty]]*Table1[[#This Row],[Column13]])</f>
        <v/>
      </c>
      <c r="Z460" s="237" t="str">
        <f>IF(Table1[[#This Row],[h_hargasebelumdiskon]]="","",IF(Table1[[#This Row],[Column14]]="",0,Table1[[#This Row],[h_hargasebelumdiskon]]*Table1[[#This Row],[Column14]]))</f>
        <v/>
      </c>
      <c r="AA460" s="237" t="str">
        <f>IF(Table1[[#This Row],[h_hargasebelumdiskon]]="","",IF(Table1[[#This Row],[Column15]]="",0,(Table1[[#This Row],[h_hargasebelumdiskon]]-Table1[[#This Row],[h_disc 1]])*Table1[[#This Row],[Column15]]))</f>
        <v/>
      </c>
      <c r="AB460" s="237" t="str">
        <f>IF(Table1[[#This Row],[Column12]]="","",Table1[[#This Row],[h_disc 1]]+Table1[[#This Row],[h_disc 2]])</f>
        <v/>
      </c>
      <c r="AC460" s="237" t="str">
        <f>IF(Table1[[#This Row],[Column12]]="","",Table1[[#This Row],[h_hargasebelumdiskon]]-Table1[[#This Row],[h_diskon]])</f>
        <v/>
      </c>
      <c r="AD460" s="237" t="str">
        <f ca="1">IF(Table1[[#This Row],[//]]="","",SUMIF(Table1[h_id],Table1[[#This Row],[h_id]],Table1[h_hargasetelahdiskon]))</f>
        <v/>
      </c>
      <c r="AF460" s="237" t="str">
        <f>Table1[[#This Row],[Column12]]&amp;Table1[[#This Row],[Unit]]&amp;Table1[[#This Row],[Column13]]</f>
        <v/>
      </c>
      <c r="AG460"/>
      <c r="AH460"/>
      <c r="AI460"/>
    </row>
    <row r="461" spans="1:35">
      <c r="A461" s="234" t="str">
        <f ca="1">IF(Table1[[#This Row],[No. Invoice :]]="","",ROW())</f>
        <v/>
      </c>
      <c r="B461" s="234" t="str">
        <f ca="1">IF(Table1[[#This Row],[Column3]]="","",B$1+COUNT(INDIRECT("B$2:B"&amp;ROW()-1)))</f>
        <v/>
      </c>
      <c r="C461" s="235" t="str">
        <f>IF(Table1[[#This Row],[Column2]]="","",Table1[[#This Row],[Column2]]+C$1-1)</f>
        <v/>
      </c>
      <c r="E461" s="236"/>
      <c r="F461" s="234"/>
      <c r="G461" s="234" t="str">
        <f ca="1">IF(Table1[[#This Row],[h_No. Invoice :]]="","",CONCATENATE("AM"," ",Table1[[#This Row],[h_No. Invoice :]]))</f>
        <v/>
      </c>
      <c r="H461" s="234" t="str">
        <f>IF(Table1[[#This Row],[Column5]]="","",INDEX(Table2[Column1],MATCH(Table1[[#This Row],[Column5]],Table2[a],0)))</f>
        <v/>
      </c>
      <c r="I461" s="234" t="str">
        <f>IF(Table1[[#This Row],[Column3]]=0,"",CONCATENATE(UPPER(Table1[[#This Row],[Column3]])," ",Table1[[#This Row],[Column4]]))</f>
        <v xml:space="preserve"> </v>
      </c>
      <c r="J461" s="234" t="str">
        <f>IF(Table1[[#This Row],[Column5]]="","",INDEX(Table2[e],IF(Table1[[#This Row],[Column5]]="","",MATCH(Table1[[#This Row],[Column5]],Table2[a],0)),))</f>
        <v/>
      </c>
      <c r="K461" s="234"/>
      <c r="L461" s="234"/>
      <c r="O461" s="234" t="str">
        <f>IF(Table1[[#This Row],[h_Item Description]]="","",INDEX([1]!db[NB PAJAK],MATCH(Table1[[#This Row],[h_Item Description]],[1]!db[kode],0)))</f>
        <v/>
      </c>
      <c r="Q461" s="237"/>
      <c r="R461" s="238"/>
      <c r="S461" s="238"/>
      <c r="T461" s="237" t="str">
        <f>Table1[[#This Row],[h_hargasetelahdiskon]]</f>
        <v/>
      </c>
      <c r="V461" s="234"/>
      <c r="W461" s="234" t="str">
        <f ca="1">IF(Table1[[#This Row],[Column12]]="","",IF(Table1[[#This Row],[//]]="",INDIRECT(ADDRESS(ROW()-1,COLUMN())),Table1[[#This Row],[//]]))</f>
        <v/>
      </c>
      <c r="X461" s="234" t="str">
        <f ca="1">IF(Table1[[#This Row],[h_id]]="","",COUNTIF(Table1[h_id],Table1[[#This Row],[h_id]]))</f>
        <v/>
      </c>
      <c r="Y461" s="237" t="str">
        <f>IF(Table1[[#This Row],[Column12]]="","",Table1[[#This Row],[Qty]]*Table1[[#This Row],[Column13]])</f>
        <v/>
      </c>
      <c r="Z461" s="237" t="str">
        <f>IF(Table1[[#This Row],[h_hargasebelumdiskon]]="","",IF(Table1[[#This Row],[Column14]]="",0,Table1[[#This Row],[h_hargasebelumdiskon]]*Table1[[#This Row],[Column14]]))</f>
        <v/>
      </c>
      <c r="AA461" s="237" t="str">
        <f>IF(Table1[[#This Row],[h_hargasebelumdiskon]]="","",IF(Table1[[#This Row],[Column15]]="",0,(Table1[[#This Row],[h_hargasebelumdiskon]]-Table1[[#This Row],[h_disc 1]])*Table1[[#This Row],[Column15]]))</f>
        <v/>
      </c>
      <c r="AB461" s="237" t="str">
        <f>IF(Table1[[#This Row],[Column12]]="","",Table1[[#This Row],[h_disc 1]]+Table1[[#This Row],[h_disc 2]])</f>
        <v/>
      </c>
      <c r="AC461" s="237" t="str">
        <f>IF(Table1[[#This Row],[Column12]]="","",Table1[[#This Row],[h_hargasebelumdiskon]]-Table1[[#This Row],[h_diskon]])</f>
        <v/>
      </c>
      <c r="AD461" s="237" t="str">
        <f ca="1">IF(Table1[[#This Row],[//]]="","",SUMIF(Table1[h_id],Table1[[#This Row],[h_id]],Table1[h_hargasetelahdiskon]))</f>
        <v/>
      </c>
      <c r="AF461" s="237" t="str">
        <f>Table1[[#This Row],[Column12]]&amp;Table1[[#This Row],[Unit]]&amp;Table1[[#This Row],[Column13]]</f>
        <v/>
      </c>
      <c r="AG461"/>
      <c r="AH461"/>
      <c r="AI461"/>
    </row>
    <row r="462" spans="1:35">
      <c r="A462" s="234" t="str">
        <f ca="1">IF(Table1[[#This Row],[No. Invoice :]]="","",ROW())</f>
        <v/>
      </c>
      <c r="B462" s="234" t="str">
        <f ca="1">IF(Table1[[#This Row],[Column3]]="","",B$1+COUNT(INDIRECT("B$2:B"&amp;ROW()-1)))</f>
        <v/>
      </c>
      <c r="C462" s="235" t="str">
        <f>IF(Table1[[#This Row],[Column2]]="","",Table1[[#This Row],[Column2]]+C$1-1)</f>
        <v/>
      </c>
      <c r="E462" s="236"/>
      <c r="F462" s="234"/>
      <c r="G462" s="234" t="str">
        <f ca="1">IF(Table1[[#This Row],[h_No. Invoice :]]="","",CONCATENATE("AM"," ",Table1[[#This Row],[h_No. Invoice :]]))</f>
        <v/>
      </c>
      <c r="H462" s="234" t="str">
        <f>IF(Table1[[#This Row],[Column5]]="","",INDEX(Table2[Column1],MATCH(Table1[[#This Row],[Column5]],Table2[a],0)))</f>
        <v/>
      </c>
      <c r="I462" s="234" t="str">
        <f>IF(Table1[[#This Row],[Column3]]=0,"",CONCATENATE(UPPER(Table1[[#This Row],[Column3]])," ",Table1[[#This Row],[Column4]]))</f>
        <v xml:space="preserve"> </v>
      </c>
      <c r="J462" s="234" t="str">
        <f>IF(Table1[[#This Row],[Column5]]="","",INDEX(Table2[e],IF(Table1[[#This Row],[Column5]]="","",MATCH(Table1[[#This Row],[Column5]],Table2[a],0)),))</f>
        <v/>
      </c>
      <c r="K462" s="234"/>
      <c r="L462" s="234"/>
      <c r="O462" s="234" t="str">
        <f>IF(Table1[[#This Row],[h_Item Description]]="","",INDEX([1]!db[NB PAJAK],MATCH(Table1[[#This Row],[h_Item Description]],[1]!db[kode],0)))</f>
        <v/>
      </c>
      <c r="Q462" s="237"/>
      <c r="R462" s="238"/>
      <c r="S462" s="238"/>
      <c r="T462" s="237" t="str">
        <f>Table1[[#This Row],[h_hargasetelahdiskon]]</f>
        <v/>
      </c>
      <c r="V462" s="234"/>
      <c r="W462" s="234" t="str">
        <f ca="1">IF(Table1[[#This Row],[Column12]]="","",IF(Table1[[#This Row],[//]]="",INDIRECT(ADDRESS(ROW()-1,COLUMN())),Table1[[#This Row],[//]]))</f>
        <v/>
      </c>
      <c r="X462" s="234" t="str">
        <f ca="1">IF(Table1[[#This Row],[h_id]]="","",COUNTIF(Table1[h_id],Table1[[#This Row],[h_id]]))</f>
        <v/>
      </c>
      <c r="Y462" s="237" t="str">
        <f>IF(Table1[[#This Row],[Column12]]="","",Table1[[#This Row],[Qty]]*Table1[[#This Row],[Column13]])</f>
        <v/>
      </c>
      <c r="Z462" s="237" t="str">
        <f>IF(Table1[[#This Row],[h_hargasebelumdiskon]]="","",IF(Table1[[#This Row],[Column14]]="",0,Table1[[#This Row],[h_hargasebelumdiskon]]*Table1[[#This Row],[Column14]]))</f>
        <v/>
      </c>
      <c r="AA462" s="237" t="str">
        <f>IF(Table1[[#This Row],[h_hargasebelumdiskon]]="","",IF(Table1[[#This Row],[Column15]]="",0,(Table1[[#This Row],[h_hargasebelumdiskon]]-Table1[[#This Row],[h_disc 1]])*Table1[[#This Row],[Column15]]))</f>
        <v/>
      </c>
      <c r="AB462" s="237" t="str">
        <f>IF(Table1[[#This Row],[Column12]]="","",Table1[[#This Row],[h_disc 1]]+Table1[[#This Row],[h_disc 2]])</f>
        <v/>
      </c>
      <c r="AC462" s="237" t="str">
        <f>IF(Table1[[#This Row],[Column12]]="","",Table1[[#This Row],[h_hargasebelumdiskon]]-Table1[[#This Row],[h_diskon]])</f>
        <v/>
      </c>
      <c r="AD462" s="237" t="str">
        <f ca="1">IF(Table1[[#This Row],[//]]="","",SUMIF(Table1[h_id],Table1[[#This Row],[h_id]],Table1[h_hargasetelahdiskon]))</f>
        <v/>
      </c>
      <c r="AF462" s="237" t="str">
        <f>Table1[[#This Row],[Column12]]&amp;Table1[[#This Row],[Unit]]&amp;Table1[[#This Row],[Column13]]</f>
        <v/>
      </c>
      <c r="AG462"/>
      <c r="AH462"/>
      <c r="AI462"/>
    </row>
    <row r="463" spans="1:35">
      <c r="A463" s="234" t="str">
        <f ca="1">IF(Table1[[#This Row],[No. Invoice :]]="","",ROW())</f>
        <v/>
      </c>
      <c r="B463" s="234" t="str">
        <f ca="1">IF(Table1[[#This Row],[Column3]]="","",B$1+COUNT(INDIRECT("B$2:B"&amp;ROW()-1)))</f>
        <v/>
      </c>
      <c r="C463" s="235" t="str">
        <f>IF(Table1[[#This Row],[Column2]]="","",Table1[[#This Row],[Column2]]+C$1-1)</f>
        <v/>
      </c>
      <c r="E463" s="236"/>
      <c r="F463" s="234"/>
      <c r="G463" s="234" t="str">
        <f ca="1">IF(Table1[[#This Row],[h_No. Invoice :]]="","",CONCATENATE("AM"," ",Table1[[#This Row],[h_No. Invoice :]]))</f>
        <v/>
      </c>
      <c r="H463" s="234" t="str">
        <f>IF(Table1[[#This Row],[Column5]]="","",INDEX(Table2[Column1],MATCH(Table1[[#This Row],[Column5]],Table2[a],0)))</f>
        <v/>
      </c>
      <c r="I463" s="234" t="str">
        <f>IF(Table1[[#This Row],[Column3]]=0,"",CONCATENATE(UPPER(Table1[[#This Row],[Column3]])," ",Table1[[#This Row],[Column4]]))</f>
        <v xml:space="preserve"> </v>
      </c>
      <c r="J463" s="234" t="str">
        <f>IF(Table1[[#This Row],[Column5]]="","",INDEX(Table2[e],IF(Table1[[#This Row],[Column5]]="","",MATCH(Table1[[#This Row],[Column5]],Table2[a],0)),))</f>
        <v/>
      </c>
      <c r="K463" s="234"/>
      <c r="L463" s="234"/>
      <c r="O463" s="234" t="str">
        <f>IF(Table1[[#This Row],[h_Item Description]]="","",INDEX([1]!db[NB PAJAK],MATCH(Table1[[#This Row],[h_Item Description]],[1]!db[kode],0)))</f>
        <v/>
      </c>
      <c r="Q463" s="237"/>
      <c r="R463" s="238"/>
      <c r="S463" s="238"/>
      <c r="T463" s="237" t="str">
        <f>Table1[[#This Row],[h_hargasetelahdiskon]]</f>
        <v/>
      </c>
      <c r="V463" s="234"/>
      <c r="W463" s="234" t="str">
        <f ca="1">IF(Table1[[#This Row],[Column12]]="","",IF(Table1[[#This Row],[//]]="",INDIRECT(ADDRESS(ROW()-1,COLUMN())),Table1[[#This Row],[//]]))</f>
        <v/>
      </c>
      <c r="X463" s="234" t="str">
        <f ca="1">IF(Table1[[#This Row],[h_id]]="","",COUNTIF(Table1[h_id],Table1[[#This Row],[h_id]]))</f>
        <v/>
      </c>
      <c r="Y463" s="237" t="str">
        <f>IF(Table1[[#This Row],[Column12]]="","",Table1[[#This Row],[Qty]]*Table1[[#This Row],[Column13]])</f>
        <v/>
      </c>
      <c r="Z463" s="237" t="str">
        <f>IF(Table1[[#This Row],[h_hargasebelumdiskon]]="","",IF(Table1[[#This Row],[Column14]]="",0,Table1[[#This Row],[h_hargasebelumdiskon]]*Table1[[#This Row],[Column14]]))</f>
        <v/>
      </c>
      <c r="AA463" s="237" t="str">
        <f>IF(Table1[[#This Row],[h_hargasebelumdiskon]]="","",IF(Table1[[#This Row],[Column15]]="",0,(Table1[[#This Row],[h_hargasebelumdiskon]]-Table1[[#This Row],[h_disc 1]])*Table1[[#This Row],[Column15]]))</f>
        <v/>
      </c>
      <c r="AB463" s="237" t="str">
        <f>IF(Table1[[#This Row],[Column12]]="","",Table1[[#This Row],[h_disc 1]]+Table1[[#This Row],[h_disc 2]])</f>
        <v/>
      </c>
      <c r="AC463" s="237" t="str">
        <f>IF(Table1[[#This Row],[Column12]]="","",Table1[[#This Row],[h_hargasebelumdiskon]]-Table1[[#This Row],[h_diskon]])</f>
        <v/>
      </c>
      <c r="AD463" s="237" t="str">
        <f ca="1">IF(Table1[[#This Row],[//]]="","",SUMIF(Table1[h_id],Table1[[#This Row],[h_id]],Table1[h_hargasetelahdiskon]))</f>
        <v/>
      </c>
      <c r="AF463" s="237" t="str">
        <f>Table1[[#This Row],[Column12]]&amp;Table1[[#This Row],[Unit]]&amp;Table1[[#This Row],[Column13]]</f>
        <v/>
      </c>
      <c r="AG463"/>
      <c r="AH463"/>
      <c r="AI463"/>
    </row>
    <row r="464" spans="1:35">
      <c r="A464" s="234" t="str">
        <f ca="1">IF(Table1[[#This Row],[No. Invoice :]]="","",ROW())</f>
        <v/>
      </c>
      <c r="B464" s="234" t="str">
        <f ca="1">IF(Table1[[#This Row],[Column3]]="","",B$1+COUNT(INDIRECT("B$2:B"&amp;ROW()-1)))</f>
        <v/>
      </c>
      <c r="C464" s="235" t="str">
        <f>IF(Table1[[#This Row],[Column2]]="","",Table1[[#This Row],[Column2]]+C$1-1)</f>
        <v/>
      </c>
      <c r="E464" s="236"/>
      <c r="F464" s="234"/>
      <c r="G464" s="234" t="str">
        <f ca="1">IF(Table1[[#This Row],[h_No. Invoice :]]="","",CONCATENATE("AM"," ",Table1[[#This Row],[h_No. Invoice :]]))</f>
        <v/>
      </c>
      <c r="H464" s="234" t="str">
        <f>IF(Table1[[#This Row],[Column5]]="","",INDEX(Table2[Column1],MATCH(Table1[[#This Row],[Column5]],Table2[a],0)))</f>
        <v/>
      </c>
      <c r="I464" s="234" t="str">
        <f>IF(Table1[[#This Row],[Column3]]=0,"",CONCATENATE(UPPER(Table1[[#This Row],[Column3]])," ",Table1[[#This Row],[Column4]]))</f>
        <v xml:space="preserve"> </v>
      </c>
      <c r="J464" s="234" t="str">
        <f>IF(Table1[[#This Row],[Column5]]="","",INDEX(Table2[e],IF(Table1[[#This Row],[Column5]]="","",MATCH(Table1[[#This Row],[Column5]],Table2[a],0)),))</f>
        <v/>
      </c>
      <c r="K464" s="234"/>
      <c r="L464" s="234"/>
      <c r="O464" s="234" t="str">
        <f>IF(Table1[[#This Row],[h_Item Description]]="","",INDEX([1]!db[NB PAJAK],MATCH(Table1[[#This Row],[h_Item Description]],[1]!db[kode],0)))</f>
        <v/>
      </c>
      <c r="Q464" s="237"/>
      <c r="R464" s="238"/>
      <c r="S464" s="238"/>
      <c r="T464" s="237" t="str">
        <f>Table1[[#This Row],[h_hargasetelahdiskon]]</f>
        <v/>
      </c>
      <c r="V464" s="234"/>
      <c r="W464" s="234" t="str">
        <f ca="1">IF(Table1[[#This Row],[Column12]]="","",IF(Table1[[#This Row],[//]]="",INDIRECT(ADDRESS(ROW()-1,COLUMN())),Table1[[#This Row],[//]]))</f>
        <v/>
      </c>
      <c r="X464" s="234" t="str">
        <f ca="1">IF(Table1[[#This Row],[h_id]]="","",COUNTIF(Table1[h_id],Table1[[#This Row],[h_id]]))</f>
        <v/>
      </c>
      <c r="Y464" s="237" t="str">
        <f>IF(Table1[[#This Row],[Column12]]="","",Table1[[#This Row],[Qty]]*Table1[[#This Row],[Column13]])</f>
        <v/>
      </c>
      <c r="Z464" s="237" t="str">
        <f>IF(Table1[[#This Row],[h_hargasebelumdiskon]]="","",IF(Table1[[#This Row],[Column14]]="",0,Table1[[#This Row],[h_hargasebelumdiskon]]*Table1[[#This Row],[Column14]]))</f>
        <v/>
      </c>
      <c r="AA464" s="237" t="str">
        <f>IF(Table1[[#This Row],[h_hargasebelumdiskon]]="","",IF(Table1[[#This Row],[Column15]]="",0,(Table1[[#This Row],[h_hargasebelumdiskon]]-Table1[[#This Row],[h_disc 1]])*Table1[[#This Row],[Column15]]))</f>
        <v/>
      </c>
      <c r="AB464" s="237" t="str">
        <f>IF(Table1[[#This Row],[Column12]]="","",Table1[[#This Row],[h_disc 1]]+Table1[[#This Row],[h_disc 2]])</f>
        <v/>
      </c>
      <c r="AC464" s="237" t="str">
        <f>IF(Table1[[#This Row],[Column12]]="","",Table1[[#This Row],[h_hargasebelumdiskon]]-Table1[[#This Row],[h_diskon]])</f>
        <v/>
      </c>
      <c r="AD464" s="237" t="str">
        <f ca="1">IF(Table1[[#This Row],[//]]="","",SUMIF(Table1[h_id],Table1[[#This Row],[h_id]],Table1[h_hargasetelahdiskon]))</f>
        <v/>
      </c>
      <c r="AF464" s="237" t="str">
        <f>Table1[[#This Row],[Column12]]&amp;Table1[[#This Row],[Unit]]&amp;Table1[[#This Row],[Column13]]</f>
        <v/>
      </c>
      <c r="AG464"/>
      <c r="AH464"/>
      <c r="AI464"/>
    </row>
    <row r="465" spans="1:35">
      <c r="A465" s="234" t="str">
        <f ca="1">IF(Table1[[#This Row],[No. Invoice :]]="","",ROW())</f>
        <v/>
      </c>
      <c r="B465" s="234" t="str">
        <f ca="1">IF(Table1[[#This Row],[Column3]]="","",B$1+COUNT(INDIRECT("B$2:B"&amp;ROW()-1)))</f>
        <v/>
      </c>
      <c r="C465" s="235" t="str">
        <f>IF(Table1[[#This Row],[Column2]]="","",Table1[[#This Row],[Column2]]+C$1-1)</f>
        <v/>
      </c>
      <c r="E465" s="236"/>
      <c r="F465" s="234"/>
      <c r="G465" s="234" t="str">
        <f ca="1">IF(Table1[[#This Row],[h_No. Invoice :]]="","",CONCATENATE("AM"," ",Table1[[#This Row],[h_No. Invoice :]]))</f>
        <v/>
      </c>
      <c r="H465" s="234" t="str">
        <f>IF(Table1[[#This Row],[Column5]]="","",INDEX(Table2[Column1],MATCH(Table1[[#This Row],[Column5]],Table2[a],0)))</f>
        <v/>
      </c>
      <c r="I465" s="234" t="str">
        <f>IF(Table1[[#This Row],[Column3]]=0,"",CONCATENATE(UPPER(Table1[[#This Row],[Column3]])," ",Table1[[#This Row],[Column4]]))</f>
        <v xml:space="preserve"> </v>
      </c>
      <c r="J465" s="234" t="str">
        <f>IF(Table1[[#This Row],[Column5]]="","",INDEX(Table2[e],IF(Table1[[#This Row],[Column5]]="","",MATCH(Table1[[#This Row],[Column5]],Table2[a],0)),))</f>
        <v/>
      </c>
      <c r="K465" s="234"/>
      <c r="L465" s="234"/>
      <c r="O465" s="234" t="str">
        <f>IF(Table1[[#This Row],[h_Item Description]]="","",INDEX([1]!db[NB PAJAK],MATCH(Table1[[#This Row],[h_Item Description]],[1]!db[kode],0)))</f>
        <v/>
      </c>
      <c r="Q465" s="237"/>
      <c r="R465" s="238"/>
      <c r="S465" s="238"/>
      <c r="T465" s="237" t="str">
        <f>Table1[[#This Row],[h_hargasetelahdiskon]]</f>
        <v/>
      </c>
      <c r="V465" s="234"/>
      <c r="W465" s="234" t="str">
        <f ca="1">IF(Table1[[#This Row],[Column12]]="","",IF(Table1[[#This Row],[//]]="",INDIRECT(ADDRESS(ROW()-1,COLUMN())),Table1[[#This Row],[//]]))</f>
        <v/>
      </c>
      <c r="X465" s="234" t="str">
        <f ca="1">IF(Table1[[#This Row],[h_id]]="","",COUNTIF(Table1[h_id],Table1[[#This Row],[h_id]]))</f>
        <v/>
      </c>
      <c r="Y465" s="237" t="str">
        <f>IF(Table1[[#This Row],[Column12]]="","",Table1[[#This Row],[Qty]]*Table1[[#This Row],[Column13]])</f>
        <v/>
      </c>
      <c r="Z465" s="237" t="str">
        <f>IF(Table1[[#This Row],[h_hargasebelumdiskon]]="","",IF(Table1[[#This Row],[Column14]]="",0,Table1[[#This Row],[h_hargasebelumdiskon]]*Table1[[#This Row],[Column14]]))</f>
        <v/>
      </c>
      <c r="AA465" s="237" t="str">
        <f>IF(Table1[[#This Row],[h_hargasebelumdiskon]]="","",IF(Table1[[#This Row],[Column15]]="",0,(Table1[[#This Row],[h_hargasebelumdiskon]]-Table1[[#This Row],[h_disc 1]])*Table1[[#This Row],[Column15]]))</f>
        <v/>
      </c>
      <c r="AB465" s="237" t="str">
        <f>IF(Table1[[#This Row],[Column12]]="","",Table1[[#This Row],[h_disc 1]]+Table1[[#This Row],[h_disc 2]])</f>
        <v/>
      </c>
      <c r="AC465" s="237" t="str">
        <f>IF(Table1[[#This Row],[Column12]]="","",Table1[[#This Row],[h_hargasebelumdiskon]]-Table1[[#This Row],[h_diskon]])</f>
        <v/>
      </c>
      <c r="AD465" s="237" t="str">
        <f ca="1">IF(Table1[[#This Row],[//]]="","",SUMIF(Table1[h_id],Table1[[#This Row],[h_id]],Table1[h_hargasetelahdiskon]))</f>
        <v/>
      </c>
      <c r="AF465" s="237" t="str">
        <f>Table1[[#This Row],[Column12]]&amp;Table1[[#This Row],[Unit]]&amp;Table1[[#This Row],[Column13]]</f>
        <v/>
      </c>
      <c r="AG465"/>
      <c r="AH465"/>
      <c r="AI465"/>
    </row>
    <row r="466" spans="1:35">
      <c r="A466" s="234" t="str">
        <f ca="1">IF(Table1[[#This Row],[No. Invoice :]]="","",ROW())</f>
        <v/>
      </c>
      <c r="B466" s="234" t="str">
        <f ca="1">IF(Table1[[#This Row],[Column3]]="","",B$1+COUNT(INDIRECT("B$2:B"&amp;ROW()-1)))</f>
        <v/>
      </c>
      <c r="C466" s="235" t="str">
        <f>IF(Table1[[#This Row],[Column2]]="","",Table1[[#This Row],[Column2]]+C$1-1)</f>
        <v/>
      </c>
      <c r="E466" s="236"/>
      <c r="F466" s="234"/>
      <c r="G466" s="234" t="str">
        <f ca="1">IF(Table1[[#This Row],[h_No. Invoice :]]="","",CONCATENATE("AM"," ",Table1[[#This Row],[h_No. Invoice :]]))</f>
        <v/>
      </c>
      <c r="H466" s="234" t="str">
        <f>IF(Table1[[#This Row],[Column5]]="","",INDEX(Table2[Column1],MATCH(Table1[[#This Row],[Column5]],Table2[a],0)))</f>
        <v/>
      </c>
      <c r="I466" s="234" t="str">
        <f>IF(Table1[[#This Row],[Column3]]=0,"",CONCATENATE(UPPER(Table1[[#This Row],[Column3]])," ",Table1[[#This Row],[Column4]]))</f>
        <v xml:space="preserve"> </v>
      </c>
      <c r="J466" s="234" t="str">
        <f>IF(Table1[[#This Row],[Column5]]="","",INDEX(Table2[e],IF(Table1[[#This Row],[Column5]]="","",MATCH(Table1[[#This Row],[Column5]],Table2[a],0)),))</f>
        <v/>
      </c>
      <c r="K466" s="234"/>
      <c r="L466" s="234"/>
      <c r="O466" s="234" t="str">
        <f>IF(Table1[[#This Row],[h_Item Description]]="","",INDEX([1]!db[NB PAJAK],MATCH(Table1[[#This Row],[h_Item Description]],[1]!db[kode],0)))</f>
        <v/>
      </c>
      <c r="Q466" s="237"/>
      <c r="R466" s="238"/>
      <c r="S466" s="238"/>
      <c r="T466" s="237" t="str">
        <f>Table1[[#This Row],[h_hargasetelahdiskon]]</f>
        <v/>
      </c>
      <c r="V466" s="234"/>
      <c r="W466" s="234" t="str">
        <f ca="1">IF(Table1[[#This Row],[Column12]]="","",IF(Table1[[#This Row],[//]]="",INDIRECT(ADDRESS(ROW()-1,COLUMN())),Table1[[#This Row],[//]]))</f>
        <v/>
      </c>
      <c r="X466" s="234" t="str">
        <f ca="1">IF(Table1[[#This Row],[h_id]]="","",COUNTIF(Table1[h_id],Table1[[#This Row],[h_id]]))</f>
        <v/>
      </c>
      <c r="Y466" s="237" t="str">
        <f>IF(Table1[[#This Row],[Column12]]="","",Table1[[#This Row],[Qty]]*Table1[[#This Row],[Column13]])</f>
        <v/>
      </c>
      <c r="Z466" s="237" t="str">
        <f>IF(Table1[[#This Row],[h_hargasebelumdiskon]]="","",IF(Table1[[#This Row],[Column14]]="",0,Table1[[#This Row],[h_hargasebelumdiskon]]*Table1[[#This Row],[Column14]]))</f>
        <v/>
      </c>
      <c r="AA466" s="237" t="str">
        <f>IF(Table1[[#This Row],[h_hargasebelumdiskon]]="","",IF(Table1[[#This Row],[Column15]]="",0,(Table1[[#This Row],[h_hargasebelumdiskon]]-Table1[[#This Row],[h_disc 1]])*Table1[[#This Row],[Column15]]))</f>
        <v/>
      </c>
      <c r="AB466" s="237" t="str">
        <f>IF(Table1[[#This Row],[Column12]]="","",Table1[[#This Row],[h_disc 1]]+Table1[[#This Row],[h_disc 2]])</f>
        <v/>
      </c>
      <c r="AC466" s="237" t="str">
        <f>IF(Table1[[#This Row],[Column12]]="","",Table1[[#This Row],[h_hargasebelumdiskon]]-Table1[[#This Row],[h_diskon]])</f>
        <v/>
      </c>
      <c r="AD466" s="237" t="str">
        <f ca="1">IF(Table1[[#This Row],[//]]="","",SUMIF(Table1[h_id],Table1[[#This Row],[h_id]],Table1[h_hargasetelahdiskon]))</f>
        <v/>
      </c>
      <c r="AF466" s="237" t="str">
        <f>Table1[[#This Row],[Column12]]&amp;Table1[[#This Row],[Unit]]&amp;Table1[[#This Row],[Column13]]</f>
        <v/>
      </c>
      <c r="AG466"/>
      <c r="AH466"/>
      <c r="AI466"/>
    </row>
    <row r="467" spans="1:35">
      <c r="A467" s="234" t="str">
        <f ca="1">IF(Table1[[#This Row],[No. Invoice :]]="","",ROW())</f>
        <v/>
      </c>
      <c r="B467" s="234" t="str">
        <f ca="1">IF(Table1[[#This Row],[Column3]]="","",B$1+COUNT(INDIRECT("B$2:B"&amp;ROW()-1)))</f>
        <v/>
      </c>
      <c r="C467" s="235" t="str">
        <f>IF(Table1[[#This Row],[Column2]]="","",Table1[[#This Row],[Column2]]+C$1-1)</f>
        <v/>
      </c>
      <c r="E467" s="236"/>
      <c r="F467" s="234"/>
      <c r="G467" s="234" t="str">
        <f ca="1">IF(Table1[[#This Row],[h_No. Invoice :]]="","",CONCATENATE("AM"," ",Table1[[#This Row],[h_No. Invoice :]]))</f>
        <v/>
      </c>
      <c r="H467" s="234" t="str">
        <f>IF(Table1[[#This Row],[Column5]]="","",INDEX(Table2[Column1],MATCH(Table1[[#This Row],[Column5]],Table2[a],0)))</f>
        <v/>
      </c>
      <c r="I467" s="234" t="str">
        <f>IF(Table1[[#This Row],[Column3]]=0,"",CONCATENATE(UPPER(Table1[[#This Row],[Column3]])," ",Table1[[#This Row],[Column4]]))</f>
        <v xml:space="preserve"> </v>
      </c>
      <c r="J467" s="234" t="str">
        <f>IF(Table1[[#This Row],[Column5]]="","",INDEX(Table2[e],IF(Table1[[#This Row],[Column5]]="","",MATCH(Table1[[#This Row],[Column5]],Table2[a],0)),))</f>
        <v/>
      </c>
      <c r="K467" s="234"/>
      <c r="L467" s="234"/>
      <c r="O467" s="234" t="str">
        <f>IF(Table1[[#This Row],[h_Item Description]]="","",INDEX([1]!db[NB PAJAK],MATCH(Table1[[#This Row],[h_Item Description]],[1]!db[kode],0)))</f>
        <v/>
      </c>
      <c r="Q467" s="237"/>
      <c r="R467" s="238"/>
      <c r="S467" s="238"/>
      <c r="T467" s="237" t="str">
        <f>Table1[[#This Row],[h_hargasetelahdiskon]]</f>
        <v/>
      </c>
      <c r="V467" s="234"/>
      <c r="W467" s="234" t="str">
        <f ca="1">IF(Table1[[#This Row],[Column12]]="","",IF(Table1[[#This Row],[//]]="",INDIRECT(ADDRESS(ROW()-1,COLUMN())),Table1[[#This Row],[//]]))</f>
        <v/>
      </c>
      <c r="X467" s="234" t="str">
        <f ca="1">IF(Table1[[#This Row],[h_id]]="","",COUNTIF(Table1[h_id],Table1[[#This Row],[h_id]]))</f>
        <v/>
      </c>
      <c r="Y467" s="237" t="str">
        <f>IF(Table1[[#This Row],[Column12]]="","",Table1[[#This Row],[Qty]]*Table1[[#This Row],[Column13]])</f>
        <v/>
      </c>
      <c r="Z467" s="237" t="str">
        <f>IF(Table1[[#This Row],[h_hargasebelumdiskon]]="","",IF(Table1[[#This Row],[Column14]]="",0,Table1[[#This Row],[h_hargasebelumdiskon]]*Table1[[#This Row],[Column14]]))</f>
        <v/>
      </c>
      <c r="AA467" s="237" t="str">
        <f>IF(Table1[[#This Row],[h_hargasebelumdiskon]]="","",IF(Table1[[#This Row],[Column15]]="",0,(Table1[[#This Row],[h_hargasebelumdiskon]]-Table1[[#This Row],[h_disc 1]])*Table1[[#This Row],[Column15]]))</f>
        <v/>
      </c>
      <c r="AB467" s="237" t="str">
        <f>IF(Table1[[#This Row],[Column12]]="","",Table1[[#This Row],[h_disc 1]]+Table1[[#This Row],[h_disc 2]])</f>
        <v/>
      </c>
      <c r="AC467" s="237" t="str">
        <f>IF(Table1[[#This Row],[Column12]]="","",Table1[[#This Row],[h_hargasebelumdiskon]]-Table1[[#This Row],[h_diskon]])</f>
        <v/>
      </c>
      <c r="AD467" s="237" t="str">
        <f ca="1">IF(Table1[[#This Row],[//]]="","",SUMIF(Table1[h_id],Table1[[#This Row],[h_id]],Table1[h_hargasetelahdiskon]))</f>
        <v/>
      </c>
      <c r="AF467" s="237" t="str">
        <f>Table1[[#This Row],[Column12]]&amp;Table1[[#This Row],[Unit]]&amp;Table1[[#This Row],[Column13]]</f>
        <v/>
      </c>
      <c r="AG467"/>
      <c r="AH467"/>
      <c r="AI467"/>
    </row>
    <row r="468" spans="1:35">
      <c r="A468" s="234" t="str">
        <f ca="1">IF(Table1[[#This Row],[No. Invoice :]]="","",ROW())</f>
        <v/>
      </c>
      <c r="B468" s="234" t="str">
        <f ca="1">IF(Table1[[#This Row],[Column3]]="","",B$1+COUNT(INDIRECT("B$2:B"&amp;ROW()-1)))</f>
        <v/>
      </c>
      <c r="C468" s="235" t="str">
        <f>IF(Table1[[#This Row],[Column2]]="","",Table1[[#This Row],[Column2]]+C$1-1)</f>
        <v/>
      </c>
      <c r="E468" s="236"/>
      <c r="F468" s="234"/>
      <c r="G468" s="234" t="str">
        <f ca="1">IF(Table1[[#This Row],[h_No. Invoice :]]="","",CONCATENATE("AM"," ",Table1[[#This Row],[h_No. Invoice :]]))</f>
        <v/>
      </c>
      <c r="H468" s="234" t="str">
        <f>IF(Table1[[#This Row],[Column5]]="","",INDEX(Table2[Column1],MATCH(Table1[[#This Row],[Column5]],Table2[a],0)))</f>
        <v/>
      </c>
      <c r="I468" s="234" t="str">
        <f>IF(Table1[[#This Row],[Column3]]=0,"",CONCATENATE(UPPER(Table1[[#This Row],[Column3]])," ",Table1[[#This Row],[Column4]]))</f>
        <v xml:space="preserve"> </v>
      </c>
      <c r="J468" s="234" t="str">
        <f>IF(Table1[[#This Row],[Column5]]="","",INDEX(Table2[e],IF(Table1[[#This Row],[Column5]]="","",MATCH(Table1[[#This Row],[Column5]],Table2[a],0)),))</f>
        <v/>
      </c>
      <c r="K468" s="234"/>
      <c r="L468" s="234"/>
      <c r="O468" s="234" t="str">
        <f>IF(Table1[[#This Row],[h_Item Description]]="","",INDEX([1]!db[NB PAJAK],MATCH(Table1[[#This Row],[h_Item Description]],[1]!db[kode],0)))</f>
        <v/>
      </c>
      <c r="Q468" s="237"/>
      <c r="R468" s="238"/>
      <c r="S468" s="238"/>
      <c r="T468" s="237" t="str">
        <f>Table1[[#This Row],[h_hargasetelahdiskon]]</f>
        <v/>
      </c>
      <c r="V468" s="234"/>
      <c r="W468" s="234" t="str">
        <f ca="1">IF(Table1[[#This Row],[Column12]]="","",IF(Table1[[#This Row],[//]]="",INDIRECT(ADDRESS(ROW()-1,COLUMN())),Table1[[#This Row],[//]]))</f>
        <v/>
      </c>
      <c r="X468" s="234" t="str">
        <f ca="1">IF(Table1[[#This Row],[h_id]]="","",COUNTIF(Table1[h_id],Table1[[#This Row],[h_id]]))</f>
        <v/>
      </c>
      <c r="Y468" s="237" t="str">
        <f>IF(Table1[[#This Row],[Column12]]="","",Table1[[#This Row],[Qty]]*Table1[[#This Row],[Column13]])</f>
        <v/>
      </c>
      <c r="Z468" s="237" t="str">
        <f>IF(Table1[[#This Row],[h_hargasebelumdiskon]]="","",IF(Table1[[#This Row],[Column14]]="",0,Table1[[#This Row],[h_hargasebelumdiskon]]*Table1[[#This Row],[Column14]]))</f>
        <v/>
      </c>
      <c r="AA468" s="237" t="str">
        <f>IF(Table1[[#This Row],[h_hargasebelumdiskon]]="","",IF(Table1[[#This Row],[Column15]]="",0,(Table1[[#This Row],[h_hargasebelumdiskon]]-Table1[[#This Row],[h_disc 1]])*Table1[[#This Row],[Column15]]))</f>
        <v/>
      </c>
      <c r="AB468" s="237" t="str">
        <f>IF(Table1[[#This Row],[Column12]]="","",Table1[[#This Row],[h_disc 1]]+Table1[[#This Row],[h_disc 2]])</f>
        <v/>
      </c>
      <c r="AC468" s="237" t="str">
        <f>IF(Table1[[#This Row],[Column12]]="","",Table1[[#This Row],[h_hargasebelumdiskon]]-Table1[[#This Row],[h_diskon]])</f>
        <v/>
      </c>
      <c r="AD468" s="237" t="str">
        <f ca="1">IF(Table1[[#This Row],[//]]="","",SUMIF(Table1[h_id],Table1[[#This Row],[h_id]],Table1[h_hargasetelahdiskon]))</f>
        <v/>
      </c>
      <c r="AF468" s="237" t="str">
        <f>Table1[[#This Row],[Column12]]&amp;Table1[[#This Row],[Unit]]&amp;Table1[[#This Row],[Column13]]</f>
        <v/>
      </c>
      <c r="AG468"/>
      <c r="AH468"/>
      <c r="AI468"/>
    </row>
    <row r="469" spans="1:35">
      <c r="A469" s="234" t="str">
        <f ca="1">IF(Table1[[#This Row],[No. Invoice :]]="","",ROW())</f>
        <v/>
      </c>
      <c r="B469" s="234" t="str">
        <f ca="1">IF(Table1[[#This Row],[Column3]]="","",B$1+COUNT(INDIRECT("B$2:B"&amp;ROW()-1)))</f>
        <v/>
      </c>
      <c r="C469" s="235" t="str">
        <f>IF(Table1[[#This Row],[Column2]]="","",Table1[[#This Row],[Column2]]+C$1-1)</f>
        <v/>
      </c>
      <c r="E469" s="236"/>
      <c r="F469" s="234"/>
      <c r="G469" s="234" t="str">
        <f ca="1">IF(Table1[[#This Row],[h_No. Invoice :]]="","",CONCATENATE("AM"," ",Table1[[#This Row],[h_No. Invoice :]]))</f>
        <v/>
      </c>
      <c r="H469" s="234" t="str">
        <f>IF(Table1[[#This Row],[Column5]]="","",INDEX(Table2[Column1],MATCH(Table1[[#This Row],[Column5]],Table2[a],0)))</f>
        <v/>
      </c>
      <c r="I469" s="234" t="str">
        <f>IF(Table1[[#This Row],[Column3]]=0,"",CONCATENATE(UPPER(Table1[[#This Row],[Column3]])," ",Table1[[#This Row],[Column4]]))</f>
        <v xml:space="preserve"> </v>
      </c>
      <c r="J469" s="234" t="str">
        <f>IF(Table1[[#This Row],[Column5]]="","",INDEX(Table2[e],IF(Table1[[#This Row],[Column5]]="","",MATCH(Table1[[#This Row],[Column5]],Table2[a],0)),))</f>
        <v/>
      </c>
      <c r="K469" s="234"/>
      <c r="L469" s="234"/>
      <c r="O469" s="234" t="str">
        <f>IF(Table1[[#This Row],[h_Item Description]]="","",INDEX([1]!db[NB PAJAK],MATCH(Table1[[#This Row],[h_Item Description]],[1]!db[kode],0)))</f>
        <v/>
      </c>
      <c r="Q469" s="237"/>
      <c r="R469" s="238"/>
      <c r="S469" s="238"/>
      <c r="T469" s="237" t="str">
        <f>Table1[[#This Row],[h_hargasetelahdiskon]]</f>
        <v/>
      </c>
      <c r="V469" s="234"/>
      <c r="W469" s="234" t="str">
        <f ca="1">IF(Table1[[#This Row],[Column12]]="","",IF(Table1[[#This Row],[//]]="",INDIRECT(ADDRESS(ROW()-1,COLUMN())),Table1[[#This Row],[//]]))</f>
        <v/>
      </c>
      <c r="X469" s="234" t="str">
        <f ca="1">IF(Table1[[#This Row],[h_id]]="","",COUNTIF(Table1[h_id],Table1[[#This Row],[h_id]]))</f>
        <v/>
      </c>
      <c r="Y469" s="237" t="str">
        <f>IF(Table1[[#This Row],[Column12]]="","",Table1[[#This Row],[Qty]]*Table1[[#This Row],[Column13]])</f>
        <v/>
      </c>
      <c r="Z469" s="237" t="str">
        <f>IF(Table1[[#This Row],[h_hargasebelumdiskon]]="","",IF(Table1[[#This Row],[Column14]]="",0,Table1[[#This Row],[h_hargasebelumdiskon]]*Table1[[#This Row],[Column14]]))</f>
        <v/>
      </c>
      <c r="AA469" s="237" t="str">
        <f>IF(Table1[[#This Row],[h_hargasebelumdiskon]]="","",IF(Table1[[#This Row],[Column15]]="",0,(Table1[[#This Row],[h_hargasebelumdiskon]]-Table1[[#This Row],[h_disc 1]])*Table1[[#This Row],[Column15]]))</f>
        <v/>
      </c>
      <c r="AB469" s="237" t="str">
        <f>IF(Table1[[#This Row],[Column12]]="","",Table1[[#This Row],[h_disc 1]]+Table1[[#This Row],[h_disc 2]])</f>
        <v/>
      </c>
      <c r="AC469" s="237" t="str">
        <f>IF(Table1[[#This Row],[Column12]]="","",Table1[[#This Row],[h_hargasebelumdiskon]]-Table1[[#This Row],[h_diskon]])</f>
        <v/>
      </c>
      <c r="AD469" s="237" t="str">
        <f ca="1">IF(Table1[[#This Row],[//]]="","",SUMIF(Table1[h_id],Table1[[#This Row],[h_id]],Table1[h_hargasetelahdiskon]))</f>
        <v/>
      </c>
      <c r="AF469" s="237" t="str">
        <f>Table1[[#This Row],[Column12]]&amp;Table1[[#This Row],[Unit]]&amp;Table1[[#This Row],[Column13]]</f>
        <v/>
      </c>
      <c r="AG469"/>
      <c r="AH469"/>
      <c r="AI469"/>
    </row>
    <row r="470" spans="1:35">
      <c r="A470" s="234" t="str">
        <f ca="1">IF(Table1[[#This Row],[No. Invoice :]]="","",ROW())</f>
        <v/>
      </c>
      <c r="B470" s="234" t="str">
        <f ca="1">IF(Table1[[#This Row],[Column3]]="","",B$1+COUNT(INDIRECT("B$2:B"&amp;ROW()-1)))</f>
        <v/>
      </c>
      <c r="C470" s="235" t="str">
        <f>IF(Table1[[#This Row],[Column2]]="","",Table1[[#This Row],[Column2]]+C$1-1)</f>
        <v/>
      </c>
      <c r="E470" s="236"/>
      <c r="F470" s="234"/>
      <c r="G470" s="234" t="str">
        <f ca="1">IF(Table1[[#This Row],[h_No. Invoice :]]="","",CONCATENATE("AM"," ",Table1[[#This Row],[h_No. Invoice :]]))</f>
        <v/>
      </c>
      <c r="H470" s="234" t="str">
        <f>IF(Table1[[#This Row],[Column5]]="","",INDEX(Table2[Column1],MATCH(Table1[[#This Row],[Column5]],Table2[a],0)))</f>
        <v/>
      </c>
      <c r="I470" s="234" t="str">
        <f>IF(Table1[[#This Row],[Column3]]=0,"",CONCATENATE(UPPER(Table1[[#This Row],[Column3]])," ",Table1[[#This Row],[Column4]]))</f>
        <v xml:space="preserve"> </v>
      </c>
      <c r="J470" s="234" t="str">
        <f>IF(Table1[[#This Row],[Column5]]="","",INDEX(Table2[e],IF(Table1[[#This Row],[Column5]]="","",MATCH(Table1[[#This Row],[Column5]],Table2[a],0)),))</f>
        <v/>
      </c>
      <c r="K470" s="234"/>
      <c r="L470" s="234"/>
      <c r="O470" s="234" t="str">
        <f>IF(Table1[[#This Row],[h_Item Description]]="","",INDEX([1]!db[NB PAJAK],MATCH(Table1[[#This Row],[h_Item Description]],[1]!db[kode],0)))</f>
        <v/>
      </c>
      <c r="Q470" s="237"/>
      <c r="R470" s="238"/>
      <c r="S470" s="238"/>
      <c r="T470" s="237" t="str">
        <f>Table1[[#This Row],[h_hargasetelahdiskon]]</f>
        <v/>
      </c>
      <c r="V470" s="234"/>
      <c r="W470" s="234" t="str">
        <f ca="1">IF(Table1[[#This Row],[Column12]]="","",IF(Table1[[#This Row],[//]]="",INDIRECT(ADDRESS(ROW()-1,COLUMN())),Table1[[#This Row],[//]]))</f>
        <v/>
      </c>
      <c r="X470" s="234" t="str">
        <f ca="1">IF(Table1[[#This Row],[h_id]]="","",COUNTIF(Table1[h_id],Table1[[#This Row],[h_id]]))</f>
        <v/>
      </c>
      <c r="Y470" s="237" t="str">
        <f>IF(Table1[[#This Row],[Column12]]="","",Table1[[#This Row],[Qty]]*Table1[[#This Row],[Column13]])</f>
        <v/>
      </c>
      <c r="Z470" s="237" t="str">
        <f>IF(Table1[[#This Row],[h_hargasebelumdiskon]]="","",IF(Table1[[#This Row],[Column14]]="",0,Table1[[#This Row],[h_hargasebelumdiskon]]*Table1[[#This Row],[Column14]]))</f>
        <v/>
      </c>
      <c r="AA470" s="237" t="str">
        <f>IF(Table1[[#This Row],[h_hargasebelumdiskon]]="","",IF(Table1[[#This Row],[Column15]]="",0,(Table1[[#This Row],[h_hargasebelumdiskon]]-Table1[[#This Row],[h_disc 1]])*Table1[[#This Row],[Column15]]))</f>
        <v/>
      </c>
      <c r="AB470" s="237" t="str">
        <f>IF(Table1[[#This Row],[Column12]]="","",Table1[[#This Row],[h_disc 1]]+Table1[[#This Row],[h_disc 2]])</f>
        <v/>
      </c>
      <c r="AC470" s="237" t="str">
        <f>IF(Table1[[#This Row],[Column12]]="","",Table1[[#This Row],[h_hargasebelumdiskon]]-Table1[[#This Row],[h_diskon]])</f>
        <v/>
      </c>
      <c r="AD470" s="237" t="str">
        <f ca="1">IF(Table1[[#This Row],[//]]="","",SUMIF(Table1[h_id],Table1[[#This Row],[h_id]],Table1[h_hargasetelahdiskon]))</f>
        <v/>
      </c>
      <c r="AF470" s="237" t="str">
        <f>Table1[[#This Row],[Column12]]&amp;Table1[[#This Row],[Unit]]&amp;Table1[[#This Row],[Column13]]</f>
        <v/>
      </c>
      <c r="AG470"/>
      <c r="AH470"/>
      <c r="AI470"/>
    </row>
    <row r="471" spans="1:35">
      <c r="A471" s="234" t="str">
        <f ca="1">IF(Table1[[#This Row],[No. Invoice :]]="","",ROW())</f>
        <v/>
      </c>
      <c r="B471" s="234" t="str">
        <f ca="1">IF(Table1[[#This Row],[Column3]]="","",B$1+COUNT(INDIRECT("B$2:B"&amp;ROW()-1)))</f>
        <v/>
      </c>
      <c r="C471" s="235" t="str">
        <f>IF(Table1[[#This Row],[Column2]]="","",Table1[[#This Row],[Column2]]+C$1-1)</f>
        <v/>
      </c>
      <c r="E471" s="236"/>
      <c r="F471" s="234"/>
      <c r="G471" s="234" t="str">
        <f ca="1">IF(Table1[[#This Row],[h_No. Invoice :]]="","",CONCATENATE("AM"," ",Table1[[#This Row],[h_No. Invoice :]]))</f>
        <v/>
      </c>
      <c r="H471" s="234" t="str">
        <f>IF(Table1[[#This Row],[Column5]]="","",INDEX(Table2[Column1],MATCH(Table1[[#This Row],[Column5]],Table2[a],0)))</f>
        <v/>
      </c>
      <c r="I471" s="234" t="str">
        <f>IF(Table1[[#This Row],[Column3]]=0,"",CONCATENATE(UPPER(Table1[[#This Row],[Column3]])," ",Table1[[#This Row],[Column4]]))</f>
        <v xml:space="preserve"> </v>
      </c>
      <c r="J471" s="234" t="str">
        <f>IF(Table1[[#This Row],[Column5]]="","",INDEX(Table2[e],IF(Table1[[#This Row],[Column5]]="","",MATCH(Table1[[#This Row],[Column5]],Table2[a],0)),))</f>
        <v/>
      </c>
      <c r="K471" s="234"/>
      <c r="L471" s="234"/>
      <c r="O471" s="234" t="str">
        <f>IF(Table1[[#This Row],[h_Item Description]]="","",INDEX([1]!db[NB PAJAK],MATCH(Table1[[#This Row],[h_Item Description]],[1]!db[kode],0)))</f>
        <v/>
      </c>
      <c r="Q471" s="237"/>
      <c r="R471" s="238"/>
      <c r="S471" s="238"/>
      <c r="T471" s="237" t="str">
        <f>Table1[[#This Row],[h_hargasetelahdiskon]]</f>
        <v/>
      </c>
      <c r="V471" s="234"/>
      <c r="W471" s="234" t="str">
        <f ca="1">IF(Table1[[#This Row],[Column12]]="","",IF(Table1[[#This Row],[//]]="",INDIRECT(ADDRESS(ROW()-1,COLUMN())),Table1[[#This Row],[//]]))</f>
        <v/>
      </c>
      <c r="X471" s="234" t="str">
        <f ca="1">IF(Table1[[#This Row],[h_id]]="","",COUNTIF(Table1[h_id],Table1[[#This Row],[h_id]]))</f>
        <v/>
      </c>
      <c r="Y471" s="237" t="str">
        <f>IF(Table1[[#This Row],[Column12]]="","",Table1[[#This Row],[Qty]]*Table1[[#This Row],[Column13]])</f>
        <v/>
      </c>
      <c r="Z471" s="237" t="str">
        <f>IF(Table1[[#This Row],[h_hargasebelumdiskon]]="","",IF(Table1[[#This Row],[Column14]]="",0,Table1[[#This Row],[h_hargasebelumdiskon]]*Table1[[#This Row],[Column14]]))</f>
        <v/>
      </c>
      <c r="AA471" s="237" t="str">
        <f>IF(Table1[[#This Row],[h_hargasebelumdiskon]]="","",IF(Table1[[#This Row],[Column15]]="",0,(Table1[[#This Row],[h_hargasebelumdiskon]]-Table1[[#This Row],[h_disc 1]])*Table1[[#This Row],[Column15]]))</f>
        <v/>
      </c>
      <c r="AB471" s="237" t="str">
        <f>IF(Table1[[#This Row],[Column12]]="","",Table1[[#This Row],[h_disc 1]]+Table1[[#This Row],[h_disc 2]])</f>
        <v/>
      </c>
      <c r="AC471" s="237" t="str">
        <f>IF(Table1[[#This Row],[Column12]]="","",Table1[[#This Row],[h_hargasebelumdiskon]]-Table1[[#This Row],[h_diskon]])</f>
        <v/>
      </c>
      <c r="AD471" s="237" t="str">
        <f ca="1">IF(Table1[[#This Row],[//]]="","",SUMIF(Table1[h_id],Table1[[#This Row],[h_id]],Table1[h_hargasetelahdiskon]))</f>
        <v/>
      </c>
      <c r="AF471" s="237" t="str">
        <f>Table1[[#This Row],[Column12]]&amp;Table1[[#This Row],[Unit]]&amp;Table1[[#This Row],[Column13]]</f>
        <v/>
      </c>
      <c r="AG471"/>
      <c r="AH471"/>
      <c r="AI471"/>
    </row>
    <row r="472" spans="1:35">
      <c r="A472" s="234" t="str">
        <f ca="1">IF(Table1[[#This Row],[No. Invoice :]]="","",ROW())</f>
        <v/>
      </c>
      <c r="B472" s="234" t="str">
        <f ca="1">IF(Table1[[#This Row],[Column3]]="","",B$1+COUNT(INDIRECT("B$2:B"&amp;ROW()-1)))</f>
        <v/>
      </c>
      <c r="C472" s="235" t="str">
        <f>IF(Table1[[#This Row],[Column2]]="","",Table1[[#This Row],[Column2]]+C$1-1)</f>
        <v/>
      </c>
      <c r="E472" s="236"/>
      <c r="F472" s="234"/>
      <c r="G472" s="234" t="str">
        <f ca="1">IF(Table1[[#This Row],[h_No. Invoice :]]="","",CONCATENATE("AM"," ",Table1[[#This Row],[h_No. Invoice :]]))</f>
        <v/>
      </c>
      <c r="H472" s="234" t="str">
        <f>IF(Table1[[#This Row],[Column5]]="","",INDEX(Table2[Column1],MATCH(Table1[[#This Row],[Column5]],Table2[a],0)))</f>
        <v/>
      </c>
      <c r="I472" s="234" t="str">
        <f>IF(Table1[[#This Row],[Column3]]=0,"",CONCATENATE(UPPER(Table1[[#This Row],[Column3]])," ",Table1[[#This Row],[Column4]]))</f>
        <v xml:space="preserve"> </v>
      </c>
      <c r="J472" s="234" t="str">
        <f>IF(Table1[[#This Row],[Column5]]="","",INDEX(Table2[e],IF(Table1[[#This Row],[Column5]]="","",MATCH(Table1[[#This Row],[Column5]],Table2[a],0)),))</f>
        <v/>
      </c>
      <c r="K472" s="234"/>
      <c r="L472" s="234"/>
      <c r="O472" s="234" t="str">
        <f>IF(Table1[[#This Row],[h_Item Description]]="","",INDEX([1]!db[NB PAJAK],MATCH(Table1[[#This Row],[h_Item Description]],[1]!db[kode],0)))</f>
        <v/>
      </c>
      <c r="Q472" s="237"/>
      <c r="R472" s="238"/>
      <c r="S472" s="238"/>
      <c r="T472" s="237" t="str">
        <f>Table1[[#This Row],[h_hargasetelahdiskon]]</f>
        <v/>
      </c>
      <c r="V472" s="234"/>
      <c r="W472" s="234" t="str">
        <f ca="1">IF(Table1[[#This Row],[Column12]]="","",IF(Table1[[#This Row],[//]]="",INDIRECT(ADDRESS(ROW()-1,COLUMN())),Table1[[#This Row],[//]]))</f>
        <v/>
      </c>
      <c r="X472" s="234" t="str">
        <f ca="1">IF(Table1[[#This Row],[h_id]]="","",COUNTIF(Table1[h_id],Table1[[#This Row],[h_id]]))</f>
        <v/>
      </c>
      <c r="Y472" s="237" t="str">
        <f>IF(Table1[[#This Row],[Column12]]="","",Table1[[#This Row],[Qty]]*Table1[[#This Row],[Column13]])</f>
        <v/>
      </c>
      <c r="Z472" s="237" t="str">
        <f>IF(Table1[[#This Row],[h_hargasebelumdiskon]]="","",IF(Table1[[#This Row],[Column14]]="",0,Table1[[#This Row],[h_hargasebelumdiskon]]*Table1[[#This Row],[Column14]]))</f>
        <v/>
      </c>
      <c r="AA472" s="237" t="str">
        <f>IF(Table1[[#This Row],[h_hargasebelumdiskon]]="","",IF(Table1[[#This Row],[Column15]]="",0,(Table1[[#This Row],[h_hargasebelumdiskon]]-Table1[[#This Row],[h_disc 1]])*Table1[[#This Row],[Column15]]))</f>
        <v/>
      </c>
      <c r="AB472" s="237" t="str">
        <f>IF(Table1[[#This Row],[Column12]]="","",Table1[[#This Row],[h_disc 1]]+Table1[[#This Row],[h_disc 2]])</f>
        <v/>
      </c>
      <c r="AC472" s="237" t="str">
        <f>IF(Table1[[#This Row],[Column12]]="","",Table1[[#This Row],[h_hargasebelumdiskon]]-Table1[[#This Row],[h_diskon]])</f>
        <v/>
      </c>
      <c r="AD472" s="237" t="str">
        <f ca="1">IF(Table1[[#This Row],[//]]="","",SUMIF(Table1[h_id],Table1[[#This Row],[h_id]],Table1[h_hargasetelahdiskon]))</f>
        <v/>
      </c>
      <c r="AF472" s="237" t="str">
        <f>Table1[[#This Row],[Column12]]&amp;Table1[[#This Row],[Unit]]&amp;Table1[[#This Row],[Column13]]</f>
        <v/>
      </c>
      <c r="AG472"/>
      <c r="AH472"/>
      <c r="AI472"/>
    </row>
    <row r="473" spans="1:35">
      <c r="A473" s="234" t="str">
        <f ca="1">IF(Table1[[#This Row],[No. Invoice :]]="","",ROW())</f>
        <v/>
      </c>
      <c r="B473" s="234" t="str">
        <f ca="1">IF(Table1[[#This Row],[Column3]]="","",B$1+COUNT(INDIRECT("B$2:B"&amp;ROW()-1)))</f>
        <v/>
      </c>
      <c r="C473" s="235" t="str">
        <f>IF(Table1[[#This Row],[Column2]]="","",Table1[[#This Row],[Column2]]+C$1-1)</f>
        <v/>
      </c>
      <c r="E473" s="236"/>
      <c r="F473" s="234"/>
      <c r="G473" s="234" t="str">
        <f ca="1">IF(Table1[[#This Row],[h_No. Invoice :]]="","",CONCATENATE("AM"," ",Table1[[#This Row],[h_No. Invoice :]]))</f>
        <v/>
      </c>
      <c r="H473" s="234" t="str">
        <f>IF(Table1[[#This Row],[Column5]]="","",INDEX(Table2[Column1],MATCH(Table1[[#This Row],[Column5]],Table2[a],0)))</f>
        <v/>
      </c>
      <c r="I473" s="234" t="str">
        <f>IF(Table1[[#This Row],[Column3]]=0,"",CONCATENATE(UPPER(Table1[[#This Row],[Column3]])," ",Table1[[#This Row],[Column4]]))</f>
        <v xml:space="preserve"> </v>
      </c>
      <c r="J473" s="234" t="str">
        <f>IF(Table1[[#This Row],[Column5]]="","",INDEX(Table2[e],IF(Table1[[#This Row],[Column5]]="","",MATCH(Table1[[#This Row],[Column5]],Table2[a],0)),))</f>
        <v/>
      </c>
      <c r="K473" s="234"/>
      <c r="L473" s="234"/>
      <c r="O473" s="234" t="str">
        <f>IF(Table1[[#This Row],[h_Item Description]]="","",INDEX([1]!db[NB PAJAK],MATCH(Table1[[#This Row],[h_Item Description]],[1]!db[kode],0)))</f>
        <v/>
      </c>
      <c r="Q473" s="237"/>
      <c r="R473" s="238"/>
      <c r="S473" s="238"/>
      <c r="T473" s="237" t="str">
        <f>Table1[[#This Row],[h_hargasetelahdiskon]]</f>
        <v/>
      </c>
      <c r="V473" s="234"/>
      <c r="W473" s="234" t="str">
        <f ca="1">IF(Table1[[#This Row],[Column12]]="","",IF(Table1[[#This Row],[//]]="",INDIRECT(ADDRESS(ROW()-1,COLUMN())),Table1[[#This Row],[//]]))</f>
        <v/>
      </c>
      <c r="X473" s="234" t="str">
        <f ca="1">IF(Table1[[#This Row],[h_id]]="","",COUNTIF(Table1[h_id],Table1[[#This Row],[h_id]]))</f>
        <v/>
      </c>
      <c r="Y473" s="237" t="str">
        <f>IF(Table1[[#This Row],[Column12]]="","",Table1[[#This Row],[Qty]]*Table1[[#This Row],[Column13]])</f>
        <v/>
      </c>
      <c r="Z473" s="237" t="str">
        <f>IF(Table1[[#This Row],[h_hargasebelumdiskon]]="","",IF(Table1[[#This Row],[Column14]]="",0,Table1[[#This Row],[h_hargasebelumdiskon]]*Table1[[#This Row],[Column14]]))</f>
        <v/>
      </c>
      <c r="AA473" s="237" t="str">
        <f>IF(Table1[[#This Row],[h_hargasebelumdiskon]]="","",IF(Table1[[#This Row],[Column15]]="",0,(Table1[[#This Row],[h_hargasebelumdiskon]]-Table1[[#This Row],[h_disc 1]])*Table1[[#This Row],[Column15]]))</f>
        <v/>
      </c>
      <c r="AB473" s="237" t="str">
        <f>IF(Table1[[#This Row],[Column12]]="","",Table1[[#This Row],[h_disc 1]]+Table1[[#This Row],[h_disc 2]])</f>
        <v/>
      </c>
      <c r="AC473" s="237" t="str">
        <f>IF(Table1[[#This Row],[Column12]]="","",Table1[[#This Row],[h_hargasebelumdiskon]]-Table1[[#This Row],[h_diskon]])</f>
        <v/>
      </c>
      <c r="AD473" s="237" t="str">
        <f ca="1">IF(Table1[[#This Row],[//]]="","",SUMIF(Table1[h_id],Table1[[#This Row],[h_id]],Table1[h_hargasetelahdiskon]))</f>
        <v/>
      </c>
      <c r="AF473" s="237" t="str">
        <f>Table1[[#This Row],[Column12]]&amp;Table1[[#This Row],[Unit]]&amp;Table1[[#This Row],[Column13]]</f>
        <v/>
      </c>
      <c r="AG473"/>
      <c r="AH473"/>
      <c r="AI473"/>
    </row>
    <row r="474" spans="1:35">
      <c r="A474" s="234" t="str">
        <f ca="1">IF(Table1[[#This Row],[No. Invoice :]]="","",ROW())</f>
        <v/>
      </c>
      <c r="B474" s="234" t="str">
        <f ca="1">IF(Table1[[#This Row],[Column3]]="","",B$1+COUNT(INDIRECT("B$2:B"&amp;ROW()-1)))</f>
        <v/>
      </c>
      <c r="C474" s="235" t="str">
        <f>IF(Table1[[#This Row],[Column2]]="","",Table1[[#This Row],[Column2]]+C$1-1)</f>
        <v/>
      </c>
      <c r="E474" s="236"/>
      <c r="F474" s="234"/>
      <c r="G474" s="234" t="str">
        <f ca="1">IF(Table1[[#This Row],[h_No. Invoice :]]="","",CONCATENATE("AM"," ",Table1[[#This Row],[h_No. Invoice :]]))</f>
        <v/>
      </c>
      <c r="H474" s="234" t="str">
        <f>IF(Table1[[#This Row],[Column5]]="","",INDEX(Table2[Column1],MATCH(Table1[[#This Row],[Column5]],Table2[a],0)))</f>
        <v/>
      </c>
      <c r="I474" s="234" t="str">
        <f>IF(Table1[[#This Row],[Column3]]=0,"",CONCATENATE(UPPER(Table1[[#This Row],[Column3]])," ",Table1[[#This Row],[Column4]]))</f>
        <v xml:space="preserve"> </v>
      </c>
      <c r="J474" s="234" t="str">
        <f>IF(Table1[[#This Row],[Column5]]="","",INDEX(Table2[e],IF(Table1[[#This Row],[Column5]]="","",MATCH(Table1[[#This Row],[Column5]],Table2[a],0)),))</f>
        <v/>
      </c>
      <c r="K474" s="234"/>
      <c r="L474" s="234"/>
      <c r="O474" s="234" t="str">
        <f>IF(Table1[[#This Row],[h_Item Description]]="","",INDEX([1]!db[NB PAJAK],MATCH(Table1[[#This Row],[h_Item Description]],[1]!db[kode],0)))</f>
        <v/>
      </c>
      <c r="Q474" s="237"/>
      <c r="R474" s="238"/>
      <c r="S474" s="238"/>
      <c r="T474" s="237" t="str">
        <f>Table1[[#This Row],[h_hargasetelahdiskon]]</f>
        <v/>
      </c>
      <c r="V474" s="234"/>
      <c r="W474" s="234" t="str">
        <f ca="1">IF(Table1[[#This Row],[Column12]]="","",IF(Table1[[#This Row],[//]]="",INDIRECT(ADDRESS(ROW()-1,COLUMN())),Table1[[#This Row],[//]]))</f>
        <v/>
      </c>
      <c r="X474" s="234" t="str">
        <f ca="1">IF(Table1[[#This Row],[h_id]]="","",COUNTIF(Table1[h_id],Table1[[#This Row],[h_id]]))</f>
        <v/>
      </c>
      <c r="Y474" s="237" t="str">
        <f>IF(Table1[[#This Row],[Column12]]="","",Table1[[#This Row],[Qty]]*Table1[[#This Row],[Column13]])</f>
        <v/>
      </c>
      <c r="Z474" s="237" t="str">
        <f>IF(Table1[[#This Row],[h_hargasebelumdiskon]]="","",IF(Table1[[#This Row],[Column14]]="",0,Table1[[#This Row],[h_hargasebelumdiskon]]*Table1[[#This Row],[Column14]]))</f>
        <v/>
      </c>
      <c r="AA474" s="237" t="str">
        <f>IF(Table1[[#This Row],[h_hargasebelumdiskon]]="","",IF(Table1[[#This Row],[Column15]]="",0,(Table1[[#This Row],[h_hargasebelumdiskon]]-Table1[[#This Row],[h_disc 1]])*Table1[[#This Row],[Column15]]))</f>
        <v/>
      </c>
      <c r="AB474" s="237" t="str">
        <f>IF(Table1[[#This Row],[Column12]]="","",Table1[[#This Row],[h_disc 1]]+Table1[[#This Row],[h_disc 2]])</f>
        <v/>
      </c>
      <c r="AC474" s="237" t="str">
        <f>IF(Table1[[#This Row],[Column12]]="","",Table1[[#This Row],[h_hargasebelumdiskon]]-Table1[[#This Row],[h_diskon]])</f>
        <v/>
      </c>
      <c r="AD474" s="237" t="str">
        <f ca="1">IF(Table1[[#This Row],[//]]="","",SUMIF(Table1[h_id],Table1[[#This Row],[h_id]],Table1[h_hargasetelahdiskon]))</f>
        <v/>
      </c>
      <c r="AF474" s="237" t="str">
        <f>Table1[[#This Row],[Column12]]&amp;Table1[[#This Row],[Unit]]&amp;Table1[[#This Row],[Column13]]</f>
        <v/>
      </c>
      <c r="AG474"/>
      <c r="AH474"/>
      <c r="AI474"/>
    </row>
    <row r="475" spans="1:35">
      <c r="A475" s="234" t="str">
        <f ca="1">IF(Table1[[#This Row],[No. Invoice :]]="","",ROW())</f>
        <v/>
      </c>
      <c r="B475" s="416" t="str">
        <f ca="1">IF(Table1[[#This Row],[Column3]]="","",B$1+COUNT(INDIRECT("B$2:B"&amp;ROW()-1)))</f>
        <v/>
      </c>
      <c r="C475" s="235" t="str">
        <f>IF(Table1[[#This Row],[Column2]]="","",Table1[[#This Row],[Column2]]+C$1-1)</f>
        <v/>
      </c>
      <c r="D475" s="417"/>
      <c r="E475" s="418"/>
      <c r="F475" s="416"/>
      <c r="G475" s="234" t="str">
        <f ca="1">IF(Table1[[#This Row],[h_No. Invoice :]]="","",CONCATENATE("AM"," ",Table1[[#This Row],[h_No. Invoice :]]))</f>
        <v/>
      </c>
      <c r="H475" s="416" t="str">
        <f>IF(Table1[[#This Row],[Column5]]="","",INDEX(Table2[Column1],MATCH(Table1[[#This Row],[Column5]],Table2[a],0)))</f>
        <v/>
      </c>
      <c r="I475" s="234" t="str">
        <f>IF(Table1[[#This Row],[Column3]]=0,"",CONCATENATE(UPPER(Table1[[#This Row],[Column3]])," ",Table1[[#This Row],[Column4]]))</f>
        <v xml:space="preserve"> </v>
      </c>
      <c r="J475" s="234" t="str">
        <f>IF(Table1[[#This Row],[Column5]]="","",INDEX(Table2[e],IF(Table1[[#This Row],[Column5]]="","",MATCH(Table1[[#This Row],[Column5]],Table2[a],0)),))</f>
        <v/>
      </c>
      <c r="K475" s="234"/>
      <c r="L475" s="234"/>
      <c r="N475" s="416"/>
      <c r="O475" s="416" t="str">
        <f>IF(Table1[[#This Row],[h_Item Description]]="","",INDEX([1]!db[NB PAJAK],MATCH(Table1[[#This Row],[h_Item Description]],[1]!db[kode],0)))</f>
        <v/>
      </c>
      <c r="Q475" s="237"/>
      <c r="R475" s="238"/>
      <c r="S475" s="238"/>
      <c r="T475" s="419" t="str">
        <f>Table1[[#This Row],[h_hargasetelahdiskon]]</f>
        <v/>
      </c>
      <c r="V475" s="234"/>
      <c r="W475" s="234" t="str">
        <f ca="1">IF(Table1[[#This Row],[Column12]]="","",IF(Table1[[#This Row],[//]]="",INDIRECT(ADDRESS(ROW()-1,COLUMN())),Table1[[#This Row],[//]]))</f>
        <v/>
      </c>
      <c r="X475" s="234" t="str">
        <f ca="1">IF(Table1[[#This Row],[h_id]]="","",COUNTIF(Table1[h_id],Table1[[#This Row],[h_id]]))</f>
        <v/>
      </c>
      <c r="Y475" s="237" t="str">
        <f>IF(Table1[[#This Row],[Column12]]="","",Table1[[#This Row],[Qty]]*Table1[[#This Row],[Column13]])</f>
        <v/>
      </c>
      <c r="Z475" s="419" t="str">
        <f>IF(Table1[[#This Row],[h_hargasebelumdiskon]]="","",IF(Table1[[#This Row],[Column14]]="",0,Table1[[#This Row],[h_hargasebelumdiskon]]*Table1[[#This Row],[Column14]]))</f>
        <v/>
      </c>
      <c r="AA475" s="419" t="str">
        <f>IF(Table1[[#This Row],[h_hargasebelumdiskon]]="","",IF(Table1[[#This Row],[Column15]]="",0,(Table1[[#This Row],[h_hargasebelumdiskon]]-Table1[[#This Row],[h_disc 1]])*Table1[[#This Row],[Column15]]))</f>
        <v/>
      </c>
      <c r="AB475" s="237" t="str">
        <f>IF(Table1[[#This Row],[Column12]]="","",Table1[[#This Row],[h_disc 1]]+Table1[[#This Row],[h_disc 2]])</f>
        <v/>
      </c>
      <c r="AC475" s="237" t="str">
        <f>IF(Table1[[#This Row],[Column12]]="","",Table1[[#This Row],[h_hargasebelumdiskon]]-Table1[[#This Row],[h_diskon]])</f>
        <v/>
      </c>
      <c r="AD475" s="237" t="str">
        <f ca="1">IF(Table1[[#This Row],[//]]="","",SUMIF(Table1[h_id],Table1[[#This Row],[h_id]],Table1[h_hargasetelahdiskon]))</f>
        <v/>
      </c>
      <c r="AF475" s="237" t="str">
        <f>Table1[[#This Row],[Column12]]&amp;Table1[[#This Row],[Unit]]&amp;Table1[[#This Row],[Column13]]</f>
        <v/>
      </c>
      <c r="AG475"/>
      <c r="AH475"/>
      <c r="AI475"/>
    </row>
    <row r="476" spans="1:35">
      <c r="A476" s="234" t="str">
        <f ca="1">IF(Table1[[#This Row],[No. Invoice :]]="","",ROW())</f>
        <v/>
      </c>
      <c r="B476" s="416" t="str">
        <f ca="1">IF(Table1[[#This Row],[Column3]]="","",B$1+COUNT(INDIRECT("B$2:B"&amp;ROW()-1)))</f>
        <v/>
      </c>
      <c r="C476" s="235" t="str">
        <f>IF(Table1[[#This Row],[Column2]]="","",Table1[[#This Row],[Column2]]+C$1-1)</f>
        <v/>
      </c>
      <c r="D476" s="417"/>
      <c r="E476" s="418"/>
      <c r="F476" s="416"/>
      <c r="G476" s="234" t="str">
        <f ca="1">IF(Table1[[#This Row],[h_No. Invoice :]]="","",CONCATENATE("AM"," ",Table1[[#This Row],[h_No. Invoice :]]))</f>
        <v/>
      </c>
      <c r="H476" s="416" t="str">
        <f>IF(Table1[[#This Row],[Column5]]="","",INDEX(Table2[Column1],MATCH(Table1[[#This Row],[Column5]],Table2[a],0)))</f>
        <v/>
      </c>
      <c r="I476" s="234" t="str">
        <f>IF(Table1[[#This Row],[Column3]]=0,"",CONCATENATE(UPPER(Table1[[#This Row],[Column3]])," ",Table1[[#This Row],[Column4]]))</f>
        <v xml:space="preserve"> </v>
      </c>
      <c r="J476" s="234" t="str">
        <f>IF(Table1[[#This Row],[Column5]]="","",INDEX(Table2[e],IF(Table1[[#This Row],[Column5]]="","",MATCH(Table1[[#This Row],[Column5]],Table2[a],0)),))</f>
        <v/>
      </c>
      <c r="K476" s="234"/>
      <c r="L476" s="234"/>
      <c r="N476" s="416"/>
      <c r="O476" s="416" t="str">
        <f>IF(Table1[[#This Row],[h_Item Description]]="","",INDEX([1]!db[NB PAJAK],MATCH(Table1[[#This Row],[h_Item Description]],[1]!db[kode],0)))</f>
        <v/>
      </c>
      <c r="Q476" s="237"/>
      <c r="R476" s="238"/>
      <c r="S476" s="238"/>
      <c r="T476" s="419" t="str">
        <f>Table1[[#This Row],[h_hargasetelahdiskon]]</f>
        <v/>
      </c>
      <c r="V476" s="234"/>
      <c r="W476" s="234" t="str">
        <f ca="1">IF(Table1[[#This Row],[Column12]]="","",IF(Table1[[#This Row],[//]]="",INDIRECT(ADDRESS(ROW()-1,COLUMN())),Table1[[#This Row],[//]]))</f>
        <v/>
      </c>
      <c r="X476" s="234" t="str">
        <f ca="1">IF(Table1[[#This Row],[h_id]]="","",COUNTIF(Table1[h_id],Table1[[#This Row],[h_id]]))</f>
        <v/>
      </c>
      <c r="Y476" s="237" t="str">
        <f>IF(Table1[[#This Row],[Column12]]="","",Table1[[#This Row],[Qty]]*Table1[[#This Row],[Column13]])</f>
        <v/>
      </c>
      <c r="Z476" s="419" t="str">
        <f>IF(Table1[[#This Row],[h_hargasebelumdiskon]]="","",IF(Table1[[#This Row],[Column14]]="",0,Table1[[#This Row],[h_hargasebelumdiskon]]*Table1[[#This Row],[Column14]]))</f>
        <v/>
      </c>
      <c r="AA476" s="419" t="str">
        <f>IF(Table1[[#This Row],[h_hargasebelumdiskon]]="","",IF(Table1[[#This Row],[Column15]]="",0,(Table1[[#This Row],[h_hargasebelumdiskon]]-Table1[[#This Row],[h_disc 1]])*Table1[[#This Row],[Column15]]))</f>
        <v/>
      </c>
      <c r="AB476" s="237" t="str">
        <f>IF(Table1[[#This Row],[Column12]]="","",Table1[[#This Row],[h_disc 1]]+Table1[[#This Row],[h_disc 2]])</f>
        <v/>
      </c>
      <c r="AC476" s="237" t="str">
        <f>IF(Table1[[#This Row],[Column12]]="","",Table1[[#This Row],[h_hargasebelumdiskon]]-Table1[[#This Row],[h_diskon]])</f>
        <v/>
      </c>
      <c r="AD476" s="237" t="str">
        <f ca="1">IF(Table1[[#This Row],[//]]="","",SUMIF(Table1[h_id],Table1[[#This Row],[h_id]],Table1[h_hargasetelahdiskon]))</f>
        <v/>
      </c>
      <c r="AF476" s="237" t="str">
        <f>Table1[[#This Row],[Column12]]&amp;Table1[[#This Row],[Unit]]&amp;Table1[[#This Row],[Column13]]</f>
        <v/>
      </c>
      <c r="AG476"/>
      <c r="AH476"/>
      <c r="AI476"/>
    </row>
    <row r="477" spans="1:35">
      <c r="A477" s="234" t="str">
        <f ca="1">IF(Table1[[#This Row],[No. Invoice :]]="","",ROW())</f>
        <v/>
      </c>
      <c r="B477" s="416" t="str">
        <f ca="1">IF(Table1[[#This Row],[Column3]]="","",B$1+COUNT(INDIRECT("B$2:B"&amp;ROW()-1)))</f>
        <v/>
      </c>
      <c r="C477" s="235" t="str">
        <f>IF(Table1[[#This Row],[Column2]]="","",Table1[[#This Row],[Column2]]+C$1-1)</f>
        <v/>
      </c>
      <c r="D477" s="417"/>
      <c r="E477" s="418"/>
      <c r="F477" s="416"/>
      <c r="G477" s="234" t="str">
        <f ca="1">IF(Table1[[#This Row],[h_No. Invoice :]]="","",CONCATENATE("AM"," ",Table1[[#This Row],[h_No. Invoice :]]))</f>
        <v/>
      </c>
      <c r="H477" s="416" t="str">
        <f>IF(Table1[[#This Row],[Column5]]="","",INDEX(Table2[Column1],MATCH(Table1[[#This Row],[Column5]],Table2[a],0)))</f>
        <v/>
      </c>
      <c r="I477" s="234" t="str">
        <f>IF(Table1[[#This Row],[Column3]]=0,"",CONCATENATE(UPPER(Table1[[#This Row],[Column3]])," ",Table1[[#This Row],[Column4]]))</f>
        <v xml:space="preserve"> </v>
      </c>
      <c r="J477" s="234" t="str">
        <f>IF(Table1[[#This Row],[Column5]]="","",INDEX(Table2[e],IF(Table1[[#This Row],[Column5]]="","",MATCH(Table1[[#This Row],[Column5]],Table2[a],0)),))</f>
        <v/>
      </c>
      <c r="K477" s="234"/>
      <c r="L477" s="234"/>
      <c r="N477" s="416"/>
      <c r="O477" s="416" t="str">
        <f>IF(Table1[[#This Row],[h_Item Description]]="","",INDEX([1]!db[NB PAJAK],MATCH(Table1[[#This Row],[h_Item Description]],[1]!db[kode],0)))</f>
        <v/>
      </c>
      <c r="Q477" s="237"/>
      <c r="R477" s="238"/>
      <c r="S477" s="238"/>
      <c r="T477" s="419" t="str">
        <f>Table1[[#This Row],[h_hargasetelahdiskon]]</f>
        <v/>
      </c>
      <c r="V477" s="234"/>
      <c r="W477" s="234" t="str">
        <f ca="1">IF(Table1[[#This Row],[Column12]]="","",IF(Table1[[#This Row],[//]]="",INDIRECT(ADDRESS(ROW()-1,COLUMN())),Table1[[#This Row],[//]]))</f>
        <v/>
      </c>
      <c r="X477" s="234" t="str">
        <f ca="1">IF(Table1[[#This Row],[h_id]]="","",COUNTIF(Table1[h_id],Table1[[#This Row],[h_id]]))</f>
        <v/>
      </c>
      <c r="Y477" s="237" t="str">
        <f>IF(Table1[[#This Row],[Column12]]="","",Table1[[#This Row],[Qty]]*Table1[[#This Row],[Column13]])</f>
        <v/>
      </c>
      <c r="Z477" s="419" t="str">
        <f>IF(Table1[[#This Row],[h_hargasebelumdiskon]]="","",IF(Table1[[#This Row],[Column14]]="",0,Table1[[#This Row],[h_hargasebelumdiskon]]*Table1[[#This Row],[Column14]]))</f>
        <v/>
      </c>
      <c r="AA477" s="419" t="str">
        <f>IF(Table1[[#This Row],[h_hargasebelumdiskon]]="","",IF(Table1[[#This Row],[Column15]]="",0,(Table1[[#This Row],[h_hargasebelumdiskon]]-Table1[[#This Row],[h_disc 1]])*Table1[[#This Row],[Column15]]))</f>
        <v/>
      </c>
      <c r="AB477" s="237" t="str">
        <f>IF(Table1[[#This Row],[Column12]]="","",Table1[[#This Row],[h_disc 1]]+Table1[[#This Row],[h_disc 2]])</f>
        <v/>
      </c>
      <c r="AC477" s="237" t="str">
        <f>IF(Table1[[#This Row],[Column12]]="","",Table1[[#This Row],[h_hargasebelumdiskon]]-Table1[[#This Row],[h_diskon]])</f>
        <v/>
      </c>
      <c r="AD477" s="237" t="str">
        <f ca="1">IF(Table1[[#This Row],[//]]="","",SUMIF(Table1[h_id],Table1[[#This Row],[h_id]],Table1[h_hargasetelahdiskon]))</f>
        <v/>
      </c>
      <c r="AF477" s="237" t="str">
        <f>Table1[[#This Row],[Column12]]&amp;Table1[[#This Row],[Unit]]&amp;Table1[[#This Row],[Column13]]</f>
        <v/>
      </c>
      <c r="AG477"/>
      <c r="AH477"/>
      <c r="AI477"/>
    </row>
    <row r="478" spans="1:35">
      <c r="A478" s="234" t="str">
        <f ca="1">IF(Table1[[#This Row],[No. Invoice :]]="","",ROW())</f>
        <v/>
      </c>
      <c r="B478" s="416" t="str">
        <f ca="1">IF(Table1[[#This Row],[Column3]]="","",B$1+COUNT(INDIRECT("B$2:B"&amp;ROW()-1)))</f>
        <v/>
      </c>
      <c r="C478" s="235" t="str">
        <f>IF(Table1[[#This Row],[Column2]]="","",Table1[[#This Row],[Column2]]+C$1-1)</f>
        <v/>
      </c>
      <c r="D478" s="417"/>
      <c r="E478" s="418"/>
      <c r="F478" s="416"/>
      <c r="G478" s="234" t="str">
        <f ca="1">IF(Table1[[#This Row],[h_No. Invoice :]]="","",CONCATENATE("AM"," ",Table1[[#This Row],[h_No. Invoice :]]))</f>
        <v/>
      </c>
      <c r="H478" s="416" t="str">
        <f>IF(Table1[[#This Row],[Column5]]="","",INDEX(Table2[Column1],MATCH(Table1[[#This Row],[Column5]],Table2[a],0)))</f>
        <v/>
      </c>
      <c r="I478" s="234" t="str">
        <f>IF(Table1[[#This Row],[Column3]]=0,"",CONCATENATE(UPPER(Table1[[#This Row],[Column3]])," ",Table1[[#This Row],[Column4]]))</f>
        <v xml:space="preserve"> </v>
      </c>
      <c r="J478" s="234" t="str">
        <f>IF(Table1[[#This Row],[Column5]]="","",INDEX(Table2[e],IF(Table1[[#This Row],[Column5]]="","",MATCH(Table1[[#This Row],[Column5]],Table2[a],0)),))</f>
        <v/>
      </c>
      <c r="K478" s="234"/>
      <c r="L478" s="234"/>
      <c r="N478" s="416"/>
      <c r="O478" s="416" t="str">
        <f>IF(Table1[[#This Row],[h_Item Description]]="","",INDEX([1]!db[NB PAJAK],MATCH(Table1[[#This Row],[h_Item Description]],[1]!db[kode],0)))</f>
        <v/>
      </c>
      <c r="Q478" s="237"/>
      <c r="R478" s="238"/>
      <c r="S478" s="238"/>
      <c r="T478" s="419" t="str">
        <f>Table1[[#This Row],[h_hargasetelahdiskon]]</f>
        <v/>
      </c>
      <c r="V478" s="234"/>
      <c r="W478" s="234" t="str">
        <f ca="1">IF(Table1[[#This Row],[Column12]]="","",IF(Table1[[#This Row],[//]]="",INDIRECT(ADDRESS(ROW()-1,COLUMN())),Table1[[#This Row],[//]]))</f>
        <v/>
      </c>
      <c r="X478" s="234" t="str">
        <f ca="1">IF(Table1[[#This Row],[h_id]]="","",COUNTIF(Table1[h_id],Table1[[#This Row],[h_id]]))</f>
        <v/>
      </c>
      <c r="Y478" s="237" t="str">
        <f>IF(Table1[[#This Row],[Column12]]="","",Table1[[#This Row],[Qty]]*Table1[[#This Row],[Column13]])</f>
        <v/>
      </c>
      <c r="Z478" s="419" t="str">
        <f>IF(Table1[[#This Row],[h_hargasebelumdiskon]]="","",IF(Table1[[#This Row],[Column14]]="",0,Table1[[#This Row],[h_hargasebelumdiskon]]*Table1[[#This Row],[Column14]]))</f>
        <v/>
      </c>
      <c r="AA478" s="419" t="str">
        <f>IF(Table1[[#This Row],[h_hargasebelumdiskon]]="","",IF(Table1[[#This Row],[Column15]]="",0,(Table1[[#This Row],[h_hargasebelumdiskon]]-Table1[[#This Row],[h_disc 1]])*Table1[[#This Row],[Column15]]))</f>
        <v/>
      </c>
      <c r="AB478" s="237" t="str">
        <f>IF(Table1[[#This Row],[Column12]]="","",Table1[[#This Row],[h_disc 1]]+Table1[[#This Row],[h_disc 2]])</f>
        <v/>
      </c>
      <c r="AC478" s="237" t="str">
        <f>IF(Table1[[#This Row],[Column12]]="","",Table1[[#This Row],[h_hargasebelumdiskon]]-Table1[[#This Row],[h_diskon]])</f>
        <v/>
      </c>
      <c r="AD478" s="237" t="str">
        <f ca="1">IF(Table1[[#This Row],[//]]="","",SUMIF(Table1[h_id],Table1[[#This Row],[h_id]],Table1[h_hargasetelahdiskon]))</f>
        <v/>
      </c>
      <c r="AF478" s="237" t="str">
        <f>Table1[[#This Row],[Column12]]&amp;Table1[[#This Row],[Unit]]&amp;Table1[[#This Row],[Column13]]</f>
        <v/>
      </c>
      <c r="AG478"/>
      <c r="AH478"/>
      <c r="AI478"/>
    </row>
    <row r="479" spans="1:35">
      <c r="A479" s="234" t="str">
        <f ca="1">IF(Table1[[#This Row],[No. Invoice :]]="","",ROW())</f>
        <v/>
      </c>
      <c r="B479" s="416" t="str">
        <f ca="1">IF(Table1[[#This Row],[Column3]]="","",B$1+COUNT(INDIRECT("B$2:B"&amp;ROW()-1)))</f>
        <v/>
      </c>
      <c r="C479" s="235" t="str">
        <f>IF(Table1[[#This Row],[Column2]]="","",Table1[[#This Row],[Column2]]+C$1-1)</f>
        <v/>
      </c>
      <c r="D479" s="417"/>
      <c r="E479" s="418"/>
      <c r="F479" s="416"/>
      <c r="G479" s="234" t="str">
        <f ca="1">IF(Table1[[#This Row],[h_No. Invoice :]]="","",CONCATENATE("AM"," ",Table1[[#This Row],[h_No. Invoice :]]))</f>
        <v/>
      </c>
      <c r="H479" s="416" t="str">
        <f>IF(Table1[[#This Row],[Column5]]="","",INDEX(Table2[Column1],MATCH(Table1[[#This Row],[Column5]],Table2[a],0)))</f>
        <v/>
      </c>
      <c r="I479" s="234" t="str">
        <f>IF(Table1[[#This Row],[Column3]]=0,"",CONCATENATE(UPPER(Table1[[#This Row],[Column3]])," ",Table1[[#This Row],[Column4]]))</f>
        <v xml:space="preserve"> </v>
      </c>
      <c r="J479" s="234" t="str">
        <f>IF(Table1[[#This Row],[Column5]]="","",INDEX(Table2[e],IF(Table1[[#This Row],[Column5]]="","",MATCH(Table1[[#This Row],[Column5]],Table2[a],0)),))</f>
        <v/>
      </c>
      <c r="K479" s="234"/>
      <c r="L479" s="234"/>
      <c r="N479" s="416"/>
      <c r="O479" s="416" t="str">
        <f>IF(Table1[[#This Row],[h_Item Description]]="","",INDEX([1]!db[NB PAJAK],MATCH(Table1[[#This Row],[h_Item Description]],[1]!db[kode],0)))</f>
        <v/>
      </c>
      <c r="Q479" s="237"/>
      <c r="R479" s="238"/>
      <c r="S479" s="238"/>
      <c r="T479" s="419" t="str">
        <f>Table1[[#This Row],[h_hargasetelahdiskon]]</f>
        <v/>
      </c>
      <c r="V479" s="234"/>
      <c r="W479" s="234" t="str">
        <f ca="1">IF(Table1[[#This Row],[Column12]]="","",IF(Table1[[#This Row],[//]]="",INDIRECT(ADDRESS(ROW()-1,COLUMN())),Table1[[#This Row],[//]]))</f>
        <v/>
      </c>
      <c r="X479" s="234" t="str">
        <f ca="1">IF(Table1[[#This Row],[h_id]]="","",COUNTIF(Table1[h_id],Table1[[#This Row],[h_id]]))</f>
        <v/>
      </c>
      <c r="Y479" s="237" t="str">
        <f>IF(Table1[[#This Row],[Column12]]="","",Table1[[#This Row],[Qty]]*Table1[[#This Row],[Column13]])</f>
        <v/>
      </c>
      <c r="Z479" s="419" t="str">
        <f>IF(Table1[[#This Row],[h_hargasebelumdiskon]]="","",IF(Table1[[#This Row],[Column14]]="",0,Table1[[#This Row],[h_hargasebelumdiskon]]*Table1[[#This Row],[Column14]]))</f>
        <v/>
      </c>
      <c r="AA479" s="419" t="str">
        <f>IF(Table1[[#This Row],[h_hargasebelumdiskon]]="","",IF(Table1[[#This Row],[Column15]]="",0,(Table1[[#This Row],[h_hargasebelumdiskon]]-Table1[[#This Row],[h_disc 1]])*Table1[[#This Row],[Column15]]))</f>
        <v/>
      </c>
      <c r="AB479" s="237" t="str">
        <f>IF(Table1[[#This Row],[Column12]]="","",Table1[[#This Row],[h_disc 1]]+Table1[[#This Row],[h_disc 2]])</f>
        <v/>
      </c>
      <c r="AC479" s="237" t="str">
        <f>IF(Table1[[#This Row],[Column12]]="","",Table1[[#This Row],[h_hargasebelumdiskon]]-Table1[[#This Row],[h_diskon]])</f>
        <v/>
      </c>
      <c r="AD479" s="237" t="str">
        <f ca="1">IF(Table1[[#This Row],[//]]="","",SUMIF(Table1[h_id],Table1[[#This Row],[h_id]],Table1[h_hargasetelahdiskon]))</f>
        <v/>
      </c>
      <c r="AF479" s="237" t="str">
        <f>Table1[[#This Row],[Column12]]&amp;Table1[[#This Row],[Unit]]&amp;Table1[[#This Row],[Column13]]</f>
        <v/>
      </c>
      <c r="AG479"/>
      <c r="AH479"/>
      <c r="AI479"/>
    </row>
    <row r="480" spans="1:35">
      <c r="A480" s="234" t="str">
        <f ca="1">IF(Table1[[#This Row],[No. Invoice :]]="","",ROW())</f>
        <v/>
      </c>
      <c r="B480" s="416" t="str">
        <f ca="1">IF(Table1[[#This Row],[Column3]]="","",B$1+COUNT(INDIRECT("B$2:B"&amp;ROW()-1)))</f>
        <v/>
      </c>
      <c r="C480" s="235" t="str">
        <f>IF(Table1[[#This Row],[Column2]]="","",Table1[[#This Row],[Column2]]+C$1-1)</f>
        <v/>
      </c>
      <c r="D480" s="417"/>
      <c r="E480" s="418"/>
      <c r="F480" s="416"/>
      <c r="G480" s="234" t="str">
        <f ca="1">IF(Table1[[#This Row],[h_No. Invoice :]]="","",CONCATENATE("AM"," ",Table1[[#This Row],[h_No. Invoice :]]))</f>
        <v/>
      </c>
      <c r="H480" s="416" t="str">
        <f>IF(Table1[[#This Row],[Column5]]="","",INDEX(Table2[Column1],MATCH(Table1[[#This Row],[Column5]],Table2[a],0)))</f>
        <v/>
      </c>
      <c r="I480" s="234" t="str">
        <f>IF(Table1[[#This Row],[Column3]]=0,"",CONCATENATE(UPPER(Table1[[#This Row],[Column3]])," ",Table1[[#This Row],[Column4]]))</f>
        <v xml:space="preserve"> </v>
      </c>
      <c r="J480" s="234" t="str">
        <f>IF(Table1[[#This Row],[Column5]]="","",INDEX(Table2[e],IF(Table1[[#This Row],[Column5]]="","",MATCH(Table1[[#This Row],[Column5]],Table2[a],0)),))</f>
        <v/>
      </c>
      <c r="K480" s="234"/>
      <c r="L480" s="234"/>
      <c r="N480" s="416"/>
      <c r="O480" s="416" t="str">
        <f>IF(Table1[[#This Row],[h_Item Description]]="","",INDEX([1]!db[NB PAJAK],MATCH(Table1[[#This Row],[h_Item Description]],[1]!db[kode],0)))</f>
        <v/>
      </c>
      <c r="Q480" s="237"/>
      <c r="R480" s="238"/>
      <c r="S480" s="238"/>
      <c r="T480" s="419" t="str">
        <f>Table1[[#This Row],[h_hargasetelahdiskon]]</f>
        <v/>
      </c>
      <c r="V480" s="234"/>
      <c r="W480" s="234" t="str">
        <f ca="1">IF(Table1[[#This Row],[Column12]]="","",IF(Table1[[#This Row],[//]]="",INDIRECT(ADDRESS(ROW()-1,COLUMN())),Table1[[#This Row],[//]]))</f>
        <v/>
      </c>
      <c r="X480" s="234" t="str">
        <f ca="1">IF(Table1[[#This Row],[h_id]]="","",COUNTIF(Table1[h_id],Table1[[#This Row],[h_id]]))</f>
        <v/>
      </c>
      <c r="Y480" s="237" t="str">
        <f>IF(Table1[[#This Row],[Column12]]="","",Table1[[#This Row],[Qty]]*Table1[[#This Row],[Column13]])</f>
        <v/>
      </c>
      <c r="Z480" s="419" t="str">
        <f>IF(Table1[[#This Row],[h_hargasebelumdiskon]]="","",IF(Table1[[#This Row],[Column14]]="",0,Table1[[#This Row],[h_hargasebelumdiskon]]*Table1[[#This Row],[Column14]]))</f>
        <v/>
      </c>
      <c r="AA480" s="419" t="str">
        <f>IF(Table1[[#This Row],[h_hargasebelumdiskon]]="","",IF(Table1[[#This Row],[Column15]]="",0,(Table1[[#This Row],[h_hargasebelumdiskon]]-Table1[[#This Row],[h_disc 1]])*Table1[[#This Row],[Column15]]))</f>
        <v/>
      </c>
      <c r="AB480" s="237" t="str">
        <f>IF(Table1[[#This Row],[Column12]]="","",Table1[[#This Row],[h_disc 1]]+Table1[[#This Row],[h_disc 2]])</f>
        <v/>
      </c>
      <c r="AC480" s="237" t="str">
        <f>IF(Table1[[#This Row],[Column12]]="","",Table1[[#This Row],[h_hargasebelumdiskon]]-Table1[[#This Row],[h_diskon]])</f>
        <v/>
      </c>
      <c r="AD480" s="237" t="str">
        <f ca="1">IF(Table1[[#This Row],[//]]="","",SUMIF(Table1[h_id],Table1[[#This Row],[h_id]],Table1[h_hargasetelahdiskon]))</f>
        <v/>
      </c>
      <c r="AF480" s="237" t="str">
        <f>Table1[[#This Row],[Column12]]&amp;Table1[[#This Row],[Unit]]&amp;Table1[[#This Row],[Column13]]</f>
        <v/>
      </c>
      <c r="AG480"/>
      <c r="AH480"/>
      <c r="AI480"/>
    </row>
    <row r="481" spans="1:35">
      <c r="A481" s="234" t="str">
        <f ca="1">IF(Table1[[#This Row],[No. Invoice :]]="","",ROW())</f>
        <v/>
      </c>
      <c r="B481" s="234" t="str">
        <f ca="1">IF(Table1[[#This Row],[Column3]]="","",B$1+COUNT(INDIRECT("B$2:B"&amp;ROW()-1)))</f>
        <v/>
      </c>
      <c r="C481" s="235" t="str">
        <f>IF(Table1[[#This Row],[Column2]]="","",Table1[[#This Row],[Column2]]+C$1-1)</f>
        <v/>
      </c>
      <c r="E481" s="236"/>
      <c r="F481" s="234"/>
      <c r="G481" s="234" t="str">
        <f ca="1">IF(Table1[[#This Row],[h_No. Invoice :]]="","",CONCATENATE("AM"," ",Table1[[#This Row],[h_No. Invoice :]]))</f>
        <v/>
      </c>
      <c r="H481" s="234" t="str">
        <f>IF(Table1[[#This Row],[Column5]]="","",INDEX(Table2[Column1],MATCH(Table1[[#This Row],[Column5]],Table2[a],0)))</f>
        <v/>
      </c>
      <c r="I481" s="234" t="str">
        <f>IF(Table1[[#This Row],[Column3]]=0,"",CONCATENATE(UPPER(Table1[[#This Row],[Column3]])," ",Table1[[#This Row],[Column4]]))</f>
        <v xml:space="preserve"> </v>
      </c>
      <c r="J481" s="234" t="str">
        <f>IF(Table1[[#This Row],[Column5]]="","",INDEX(Table2[e],IF(Table1[[#This Row],[Column5]]="","",MATCH(Table1[[#This Row],[Column5]],Table2[a],0)),))</f>
        <v/>
      </c>
      <c r="K481" s="234"/>
      <c r="L481" s="234"/>
      <c r="O481" s="234" t="str">
        <f>IF(Table1[[#This Row],[h_Item Description]]="","",INDEX([1]!db[NB PAJAK],MATCH(Table1[[#This Row],[h_Item Description]],[1]!db[kode],0)))</f>
        <v/>
      </c>
      <c r="Q481" s="237"/>
      <c r="R481" s="238"/>
      <c r="S481" s="238"/>
      <c r="T481" s="237" t="str">
        <f>Table1[[#This Row],[h_hargasetelahdiskon]]</f>
        <v/>
      </c>
      <c r="V481" s="234"/>
      <c r="W481" s="234" t="str">
        <f ca="1">IF(Table1[[#This Row],[Column12]]="","",IF(Table1[[#This Row],[//]]="",INDIRECT(ADDRESS(ROW()-1,COLUMN())),Table1[[#This Row],[//]]))</f>
        <v/>
      </c>
      <c r="X481" s="234" t="str">
        <f ca="1">IF(Table1[[#This Row],[h_id]]="","",COUNTIF(Table1[h_id],Table1[[#This Row],[h_id]]))</f>
        <v/>
      </c>
      <c r="Y481" s="237" t="str">
        <f>IF(Table1[[#This Row],[Column12]]="","",Table1[[#This Row],[Qty]]*Table1[[#This Row],[Column13]])</f>
        <v/>
      </c>
      <c r="Z481" s="237" t="str">
        <f>IF(Table1[[#This Row],[h_hargasebelumdiskon]]="","",IF(Table1[[#This Row],[Column14]]="",0,Table1[[#This Row],[h_hargasebelumdiskon]]*Table1[[#This Row],[Column14]]))</f>
        <v/>
      </c>
      <c r="AA481" s="237" t="str">
        <f>IF(Table1[[#This Row],[h_hargasebelumdiskon]]="","",IF(Table1[[#This Row],[Column15]]="",0,(Table1[[#This Row],[h_hargasebelumdiskon]]-Table1[[#This Row],[h_disc 1]])*Table1[[#This Row],[Column15]]))</f>
        <v/>
      </c>
      <c r="AB481" s="237" t="str">
        <f>IF(Table1[[#This Row],[Column12]]="","",Table1[[#This Row],[h_disc 1]]+Table1[[#This Row],[h_disc 2]])</f>
        <v/>
      </c>
      <c r="AC481" s="237" t="str">
        <f>IF(Table1[[#This Row],[Column12]]="","",Table1[[#This Row],[h_hargasebelumdiskon]]-Table1[[#This Row],[h_diskon]])</f>
        <v/>
      </c>
      <c r="AD481" s="237" t="str">
        <f ca="1">IF(Table1[[#This Row],[//]]="","",SUMIF(Table1[h_id],Table1[[#This Row],[h_id]],Table1[h_hargasetelahdiskon]))</f>
        <v/>
      </c>
      <c r="AF481" s="237" t="str">
        <f>Table1[[#This Row],[Column12]]&amp;Table1[[#This Row],[Unit]]&amp;Table1[[#This Row],[Column13]]</f>
        <v/>
      </c>
      <c r="AG481"/>
      <c r="AH481"/>
      <c r="AI481"/>
    </row>
    <row r="482" spans="1:35">
      <c r="A482" s="234" t="str">
        <f ca="1">IF(Table1[[#This Row],[No. Invoice :]]="","",ROW())</f>
        <v/>
      </c>
      <c r="B482" s="234" t="str">
        <f ca="1">IF(Table1[[#This Row],[Column3]]="","",B$1+COUNT(INDIRECT("B$2:B"&amp;ROW()-1)))</f>
        <v/>
      </c>
      <c r="C482" s="235" t="str">
        <f>IF(Table1[[#This Row],[Column2]]="","",Table1[[#This Row],[Column2]]+C$1-1)</f>
        <v/>
      </c>
      <c r="E482" s="236"/>
      <c r="F482" s="234"/>
      <c r="G482" s="234" t="str">
        <f ca="1">IF(Table1[[#This Row],[h_No. Invoice :]]="","",CONCATENATE("AM"," ",Table1[[#This Row],[h_No. Invoice :]]))</f>
        <v/>
      </c>
      <c r="H482" s="234" t="str">
        <f>IF(Table1[[#This Row],[Column5]]="","",INDEX(Table2[Column1],MATCH(Table1[[#This Row],[Column5]],Table2[a],0)))</f>
        <v/>
      </c>
      <c r="I482" s="234" t="str">
        <f>IF(Table1[[#This Row],[Column3]]=0,"",CONCATENATE(UPPER(Table1[[#This Row],[Column3]])," ",Table1[[#This Row],[Column4]]))</f>
        <v xml:space="preserve"> </v>
      </c>
      <c r="J482" s="234" t="str">
        <f>IF(Table1[[#This Row],[Column5]]="","",INDEX(Table2[e],IF(Table1[[#This Row],[Column5]]="","",MATCH(Table1[[#This Row],[Column5]],Table2[a],0)),))</f>
        <v/>
      </c>
      <c r="K482" s="234"/>
      <c r="L482" s="234"/>
      <c r="O482" s="234" t="str">
        <f>IF(Table1[[#This Row],[h_Item Description]]="","",INDEX([1]!db[NB PAJAK],MATCH(Table1[[#This Row],[h_Item Description]],[1]!db[kode],0)))</f>
        <v/>
      </c>
      <c r="Q482" s="237"/>
      <c r="R482" s="238"/>
      <c r="S482" s="238"/>
      <c r="T482" s="237" t="str">
        <f>Table1[[#This Row],[h_hargasetelahdiskon]]</f>
        <v/>
      </c>
      <c r="V482" s="234"/>
      <c r="W482" s="234" t="str">
        <f ca="1">IF(Table1[[#This Row],[Column12]]="","",IF(Table1[[#This Row],[//]]="",INDIRECT(ADDRESS(ROW()-1,COLUMN())),Table1[[#This Row],[//]]))</f>
        <v/>
      </c>
      <c r="X482" s="234" t="str">
        <f ca="1">IF(Table1[[#This Row],[h_id]]="","",COUNTIF(Table1[h_id],Table1[[#This Row],[h_id]]))</f>
        <v/>
      </c>
      <c r="Y482" s="237" t="str">
        <f>IF(Table1[[#This Row],[Column12]]="","",Table1[[#This Row],[Qty]]*Table1[[#This Row],[Column13]])</f>
        <v/>
      </c>
      <c r="Z482" s="237" t="str">
        <f>IF(Table1[[#This Row],[h_hargasebelumdiskon]]="","",IF(Table1[[#This Row],[Column14]]="",0,Table1[[#This Row],[h_hargasebelumdiskon]]*Table1[[#This Row],[Column14]]))</f>
        <v/>
      </c>
      <c r="AA482" s="237" t="str">
        <f>IF(Table1[[#This Row],[h_hargasebelumdiskon]]="","",IF(Table1[[#This Row],[Column15]]="",0,(Table1[[#This Row],[h_hargasebelumdiskon]]-Table1[[#This Row],[h_disc 1]])*Table1[[#This Row],[Column15]]))</f>
        <v/>
      </c>
      <c r="AB482" s="237" t="str">
        <f>IF(Table1[[#This Row],[Column12]]="","",Table1[[#This Row],[h_disc 1]]+Table1[[#This Row],[h_disc 2]])</f>
        <v/>
      </c>
      <c r="AC482" s="237" t="str">
        <f>IF(Table1[[#This Row],[Column12]]="","",Table1[[#This Row],[h_hargasebelumdiskon]]-Table1[[#This Row],[h_diskon]])</f>
        <v/>
      </c>
      <c r="AD482" s="237" t="str">
        <f ca="1">IF(Table1[[#This Row],[//]]="","",SUMIF(Table1[h_id],Table1[[#This Row],[h_id]],Table1[h_hargasetelahdiskon]))</f>
        <v/>
      </c>
      <c r="AF482" s="237" t="str">
        <f>Table1[[#This Row],[Column12]]&amp;Table1[[#This Row],[Unit]]&amp;Table1[[#This Row],[Column13]]</f>
        <v/>
      </c>
      <c r="AG482"/>
      <c r="AH482"/>
      <c r="AI482"/>
    </row>
    <row r="483" spans="1:35">
      <c r="A483" s="234" t="str">
        <f ca="1">IF(Table1[[#This Row],[No. Invoice :]]="","",ROW())</f>
        <v/>
      </c>
      <c r="B483" s="234" t="str">
        <f ca="1">IF(Table1[[#This Row],[Column3]]="","",B$1+COUNT(INDIRECT("B$2:B"&amp;ROW()-1)))</f>
        <v/>
      </c>
      <c r="C483" s="235" t="str">
        <f>IF(Table1[[#This Row],[Column2]]="","",Table1[[#This Row],[Column2]]+C$1-1)</f>
        <v/>
      </c>
      <c r="E483" s="236"/>
      <c r="F483" s="234"/>
      <c r="G483" s="234" t="str">
        <f ca="1">IF(Table1[[#This Row],[h_No. Invoice :]]="","",CONCATENATE("AM"," ",Table1[[#This Row],[h_No. Invoice :]]))</f>
        <v/>
      </c>
      <c r="H483" s="234" t="str">
        <f>IF(Table1[[#This Row],[Column5]]="","",INDEX(Table2[Column1],MATCH(Table1[[#This Row],[Column5]],Table2[a],0)))</f>
        <v/>
      </c>
      <c r="I483" s="234" t="str">
        <f>IF(Table1[[#This Row],[Column3]]=0,"",CONCATENATE(UPPER(Table1[[#This Row],[Column3]])," ",Table1[[#This Row],[Column4]]))</f>
        <v xml:space="preserve"> </v>
      </c>
      <c r="J483" s="234" t="str">
        <f>IF(Table1[[#This Row],[Column5]]="","",INDEX(Table2[e],IF(Table1[[#This Row],[Column5]]="","",MATCH(Table1[[#This Row],[Column5]],Table2[a],0)),))</f>
        <v/>
      </c>
      <c r="K483" s="234"/>
      <c r="L483" s="234"/>
      <c r="O483" s="234" t="str">
        <f>IF(Table1[[#This Row],[h_Item Description]]="","",INDEX([1]!db[NB PAJAK],MATCH(Table1[[#This Row],[h_Item Description]],[1]!db[kode],0)))</f>
        <v/>
      </c>
      <c r="Q483" s="237"/>
      <c r="R483" s="238"/>
      <c r="S483" s="238"/>
      <c r="T483" s="237" t="str">
        <f>Table1[[#This Row],[h_hargasetelahdiskon]]</f>
        <v/>
      </c>
      <c r="V483" s="234"/>
      <c r="W483" s="234" t="str">
        <f ca="1">IF(Table1[[#This Row],[Column12]]="","",IF(Table1[[#This Row],[//]]="",INDIRECT(ADDRESS(ROW()-1,COLUMN())),Table1[[#This Row],[//]]))</f>
        <v/>
      </c>
      <c r="X483" s="234" t="str">
        <f ca="1">IF(Table1[[#This Row],[h_id]]="","",COUNTIF(Table1[h_id],Table1[[#This Row],[h_id]]))</f>
        <v/>
      </c>
      <c r="Y483" s="237" t="str">
        <f>IF(Table1[[#This Row],[Column12]]="","",Table1[[#This Row],[Qty]]*Table1[[#This Row],[Column13]])</f>
        <v/>
      </c>
      <c r="Z483" s="237" t="str">
        <f>IF(Table1[[#This Row],[h_hargasebelumdiskon]]="","",IF(Table1[[#This Row],[Column14]]="",0,Table1[[#This Row],[h_hargasebelumdiskon]]*Table1[[#This Row],[Column14]]))</f>
        <v/>
      </c>
      <c r="AA483" s="237" t="str">
        <f>IF(Table1[[#This Row],[h_hargasebelumdiskon]]="","",IF(Table1[[#This Row],[Column15]]="",0,(Table1[[#This Row],[h_hargasebelumdiskon]]-Table1[[#This Row],[h_disc 1]])*Table1[[#This Row],[Column15]]))</f>
        <v/>
      </c>
      <c r="AB483" s="237" t="str">
        <f>IF(Table1[[#This Row],[Column12]]="","",Table1[[#This Row],[h_disc 1]]+Table1[[#This Row],[h_disc 2]])</f>
        <v/>
      </c>
      <c r="AC483" s="237" t="str">
        <f>IF(Table1[[#This Row],[Column12]]="","",Table1[[#This Row],[h_hargasebelumdiskon]]-Table1[[#This Row],[h_diskon]])</f>
        <v/>
      </c>
      <c r="AD483" s="237" t="str">
        <f ca="1">IF(Table1[[#This Row],[//]]="","",SUMIF(Table1[h_id],Table1[[#This Row],[h_id]],Table1[h_hargasetelahdiskon]))</f>
        <v/>
      </c>
      <c r="AF483" s="237" t="str">
        <f>Table1[[#This Row],[Column12]]&amp;Table1[[#This Row],[Unit]]&amp;Table1[[#This Row],[Column13]]</f>
        <v/>
      </c>
      <c r="AG483"/>
      <c r="AH483"/>
      <c r="AI483"/>
    </row>
    <row r="484" spans="1:35">
      <c r="A484" s="234" t="str">
        <f ca="1">IF(Table1[[#This Row],[No. Invoice :]]="","",ROW())</f>
        <v/>
      </c>
      <c r="B484" s="234" t="str">
        <f ca="1">IF(Table1[[#This Row],[Column3]]="","",B$1+COUNT(INDIRECT("B$2:B"&amp;ROW()-1)))</f>
        <v/>
      </c>
      <c r="C484" s="235" t="str">
        <f>IF(Table1[[#This Row],[Column2]]="","",Table1[[#This Row],[Column2]]+C$1-1)</f>
        <v/>
      </c>
      <c r="E484" s="236"/>
      <c r="F484" s="234"/>
      <c r="G484" s="234" t="str">
        <f ca="1">IF(Table1[[#This Row],[h_No. Invoice :]]="","",CONCATENATE("AM"," ",Table1[[#This Row],[h_No. Invoice :]]))</f>
        <v/>
      </c>
      <c r="H484" s="234" t="str">
        <f>IF(Table1[[#This Row],[Column5]]="","",INDEX(Table2[Column1],MATCH(Table1[[#This Row],[Column5]],Table2[a],0)))</f>
        <v/>
      </c>
      <c r="I484" s="234" t="str">
        <f>IF(Table1[[#This Row],[Column3]]=0,"",CONCATENATE(UPPER(Table1[[#This Row],[Column3]])," ",Table1[[#This Row],[Column4]]))</f>
        <v xml:space="preserve"> </v>
      </c>
      <c r="J484" s="234" t="str">
        <f>IF(Table1[[#This Row],[Column5]]="","",INDEX(Table2[e],IF(Table1[[#This Row],[Column5]]="","",MATCH(Table1[[#This Row],[Column5]],Table2[a],0)),))</f>
        <v/>
      </c>
      <c r="K484" s="234"/>
      <c r="L484" s="234"/>
      <c r="O484" s="234" t="str">
        <f>IF(Table1[[#This Row],[h_Item Description]]="","",INDEX([1]!db[NB PAJAK],MATCH(Table1[[#This Row],[h_Item Description]],[1]!db[kode],0)))</f>
        <v/>
      </c>
      <c r="Q484" s="237"/>
      <c r="R484" s="238"/>
      <c r="S484" s="238"/>
      <c r="T484" s="237" t="str">
        <f>Table1[[#This Row],[h_hargasetelahdiskon]]</f>
        <v/>
      </c>
      <c r="V484" s="234"/>
      <c r="W484" s="234" t="str">
        <f ca="1">IF(Table1[[#This Row],[Column12]]="","",IF(Table1[[#This Row],[//]]="",INDIRECT(ADDRESS(ROW()-1,COLUMN())),Table1[[#This Row],[//]]))</f>
        <v/>
      </c>
      <c r="X484" s="234" t="str">
        <f ca="1">IF(Table1[[#This Row],[h_id]]="","",COUNTIF(Table1[h_id],Table1[[#This Row],[h_id]]))</f>
        <v/>
      </c>
      <c r="Y484" s="237" t="str">
        <f>IF(Table1[[#This Row],[Column12]]="","",Table1[[#This Row],[Qty]]*Table1[[#This Row],[Column13]])</f>
        <v/>
      </c>
      <c r="Z484" s="237" t="str">
        <f>IF(Table1[[#This Row],[h_hargasebelumdiskon]]="","",IF(Table1[[#This Row],[Column14]]="",0,Table1[[#This Row],[h_hargasebelumdiskon]]*Table1[[#This Row],[Column14]]))</f>
        <v/>
      </c>
      <c r="AA484" s="237" t="str">
        <f>IF(Table1[[#This Row],[h_hargasebelumdiskon]]="","",IF(Table1[[#This Row],[Column15]]="",0,(Table1[[#This Row],[h_hargasebelumdiskon]]-Table1[[#This Row],[h_disc 1]])*Table1[[#This Row],[Column15]]))</f>
        <v/>
      </c>
      <c r="AB484" s="237" t="str">
        <f>IF(Table1[[#This Row],[Column12]]="","",Table1[[#This Row],[h_disc 1]]+Table1[[#This Row],[h_disc 2]])</f>
        <v/>
      </c>
      <c r="AC484" s="237" t="str">
        <f>IF(Table1[[#This Row],[Column12]]="","",Table1[[#This Row],[h_hargasebelumdiskon]]-Table1[[#This Row],[h_diskon]])</f>
        <v/>
      </c>
      <c r="AD484" s="237" t="str">
        <f ca="1">IF(Table1[[#This Row],[//]]="","",SUMIF(Table1[h_id],Table1[[#This Row],[h_id]],Table1[h_hargasetelahdiskon]))</f>
        <v/>
      </c>
      <c r="AF484" s="237" t="str">
        <f>Table1[[#This Row],[Column12]]&amp;Table1[[#This Row],[Unit]]&amp;Table1[[#This Row],[Column13]]</f>
        <v/>
      </c>
      <c r="AG484"/>
      <c r="AH484"/>
      <c r="AI484"/>
    </row>
    <row r="485" spans="1:35">
      <c r="A485" s="234" t="str">
        <f ca="1">IF(Table1[[#This Row],[No. Invoice :]]="","",ROW())</f>
        <v/>
      </c>
      <c r="B485" s="234" t="str">
        <f ca="1">IF(Table1[[#This Row],[Column3]]="","",B$1+COUNT(INDIRECT("B$2:B"&amp;ROW()-1)))</f>
        <v/>
      </c>
      <c r="C485" s="235" t="str">
        <f>IF(Table1[[#This Row],[Column2]]="","",Table1[[#This Row],[Column2]]+C$1-1)</f>
        <v/>
      </c>
      <c r="E485" s="236"/>
      <c r="F485" s="234"/>
      <c r="G485" s="234" t="str">
        <f ca="1">IF(Table1[[#This Row],[h_No. Invoice :]]="","",CONCATENATE("AM"," ",Table1[[#This Row],[h_No. Invoice :]]))</f>
        <v/>
      </c>
      <c r="H485" s="234" t="str">
        <f>IF(Table1[[#This Row],[Column5]]="","",INDEX(Table2[Column1],MATCH(Table1[[#This Row],[Column5]],Table2[a],0)))</f>
        <v/>
      </c>
      <c r="I485" s="234" t="str">
        <f>IF(Table1[[#This Row],[Column3]]=0,"",CONCATENATE(UPPER(Table1[[#This Row],[Column3]])," ",Table1[[#This Row],[Column4]]))</f>
        <v xml:space="preserve"> </v>
      </c>
      <c r="J485" s="234" t="str">
        <f>IF(Table1[[#This Row],[Column5]]="","",INDEX(Table2[e],IF(Table1[[#This Row],[Column5]]="","",MATCH(Table1[[#This Row],[Column5]],Table2[a],0)),))</f>
        <v/>
      </c>
      <c r="K485" s="234"/>
      <c r="L485" s="234"/>
      <c r="O485" s="234" t="str">
        <f>IF(Table1[[#This Row],[h_Item Description]]="","",INDEX([1]!db[NB PAJAK],MATCH(Table1[[#This Row],[h_Item Description]],[1]!db[kode],0)))</f>
        <v/>
      </c>
      <c r="Q485" s="237"/>
      <c r="R485" s="238"/>
      <c r="S485" s="238"/>
      <c r="T485" s="237" t="str">
        <f>Table1[[#This Row],[h_hargasetelahdiskon]]</f>
        <v/>
      </c>
      <c r="V485" s="234"/>
      <c r="W485" s="234" t="str">
        <f ca="1">IF(Table1[[#This Row],[Column12]]="","",IF(Table1[[#This Row],[//]]="",INDIRECT(ADDRESS(ROW()-1,COLUMN())),Table1[[#This Row],[//]]))</f>
        <v/>
      </c>
      <c r="X485" s="234" t="str">
        <f ca="1">IF(Table1[[#This Row],[h_id]]="","",COUNTIF(Table1[h_id],Table1[[#This Row],[h_id]]))</f>
        <v/>
      </c>
      <c r="Y485" s="237" t="str">
        <f>IF(Table1[[#This Row],[Column12]]="","",Table1[[#This Row],[Qty]]*Table1[[#This Row],[Column13]])</f>
        <v/>
      </c>
      <c r="Z485" s="237" t="str">
        <f>IF(Table1[[#This Row],[h_hargasebelumdiskon]]="","",IF(Table1[[#This Row],[Column14]]="",0,Table1[[#This Row],[h_hargasebelumdiskon]]*Table1[[#This Row],[Column14]]))</f>
        <v/>
      </c>
      <c r="AA485" s="237" t="str">
        <f>IF(Table1[[#This Row],[h_hargasebelumdiskon]]="","",IF(Table1[[#This Row],[Column15]]="",0,(Table1[[#This Row],[h_hargasebelumdiskon]]-Table1[[#This Row],[h_disc 1]])*Table1[[#This Row],[Column15]]))</f>
        <v/>
      </c>
      <c r="AB485" s="237" t="str">
        <f>IF(Table1[[#This Row],[Column12]]="","",Table1[[#This Row],[h_disc 1]]+Table1[[#This Row],[h_disc 2]])</f>
        <v/>
      </c>
      <c r="AC485" s="237" t="str">
        <f>IF(Table1[[#This Row],[Column12]]="","",Table1[[#This Row],[h_hargasebelumdiskon]]-Table1[[#This Row],[h_diskon]])</f>
        <v/>
      </c>
      <c r="AD485" s="237" t="str">
        <f ca="1">IF(Table1[[#This Row],[//]]="","",SUMIF(Table1[h_id],Table1[[#This Row],[h_id]],Table1[h_hargasetelahdiskon]))</f>
        <v/>
      </c>
      <c r="AF485" s="237" t="str">
        <f>Table1[[#This Row],[Column12]]&amp;Table1[[#This Row],[Unit]]&amp;Table1[[#This Row],[Column13]]</f>
        <v/>
      </c>
      <c r="AG485"/>
      <c r="AH485"/>
      <c r="AI485"/>
    </row>
    <row r="486" spans="1:35">
      <c r="A486" s="234" t="str">
        <f ca="1">IF(Table1[[#This Row],[No. Invoice :]]="","",ROW())</f>
        <v/>
      </c>
      <c r="B486" s="234" t="str">
        <f ca="1">IF(Table1[[#This Row],[Column3]]="","",B$1+COUNT(INDIRECT("B$2:B"&amp;ROW()-1)))</f>
        <v/>
      </c>
      <c r="C486" s="235" t="str">
        <f>IF(Table1[[#This Row],[Column2]]="","",Table1[[#This Row],[Column2]]+C$1-1)</f>
        <v/>
      </c>
      <c r="E486" s="236"/>
      <c r="F486" s="234"/>
      <c r="G486" s="234" t="str">
        <f ca="1">IF(Table1[[#This Row],[h_No. Invoice :]]="","",CONCATENATE("AM"," ",Table1[[#This Row],[h_No. Invoice :]]))</f>
        <v/>
      </c>
      <c r="H486" s="234" t="str">
        <f>IF(Table1[[#This Row],[Column5]]="","",INDEX(Table2[Column1],MATCH(Table1[[#This Row],[Column5]],Table2[a],0)))</f>
        <v/>
      </c>
      <c r="I486" s="234" t="str">
        <f>IF(Table1[[#This Row],[Column3]]=0,"",CONCATENATE(UPPER(Table1[[#This Row],[Column3]])," ",Table1[[#This Row],[Column4]]))</f>
        <v xml:space="preserve"> </v>
      </c>
      <c r="J486" s="234" t="str">
        <f>IF(Table1[[#This Row],[Column5]]="","",INDEX(Table2[e],IF(Table1[[#This Row],[Column5]]="","",MATCH(Table1[[#This Row],[Column5]],Table2[a],0)),))</f>
        <v/>
      </c>
      <c r="K486" s="234"/>
      <c r="L486" s="234"/>
      <c r="O486" s="234" t="str">
        <f>IF(Table1[[#This Row],[h_Item Description]]="","",INDEX([1]!db[NB PAJAK],MATCH(Table1[[#This Row],[h_Item Description]],[1]!db[kode],0)))</f>
        <v/>
      </c>
      <c r="Q486" s="237"/>
      <c r="R486" s="238"/>
      <c r="S486" s="238"/>
      <c r="T486" s="237" t="str">
        <f>Table1[[#This Row],[h_hargasetelahdiskon]]</f>
        <v/>
      </c>
      <c r="V486" s="234"/>
      <c r="W486" s="234" t="str">
        <f ca="1">IF(Table1[[#This Row],[Column12]]="","",IF(Table1[[#This Row],[//]]="",INDIRECT(ADDRESS(ROW()-1,COLUMN())),Table1[[#This Row],[//]]))</f>
        <v/>
      </c>
      <c r="X486" s="234" t="str">
        <f ca="1">IF(Table1[[#This Row],[h_id]]="","",COUNTIF(Table1[h_id],Table1[[#This Row],[h_id]]))</f>
        <v/>
      </c>
      <c r="Y486" s="237" t="str">
        <f>IF(Table1[[#This Row],[Column12]]="","",Table1[[#This Row],[Qty]]*Table1[[#This Row],[Column13]])</f>
        <v/>
      </c>
      <c r="Z486" s="237" t="str">
        <f>IF(Table1[[#This Row],[h_hargasebelumdiskon]]="","",IF(Table1[[#This Row],[Column14]]="",0,Table1[[#This Row],[h_hargasebelumdiskon]]*Table1[[#This Row],[Column14]]))</f>
        <v/>
      </c>
      <c r="AA486" s="237" t="str">
        <f>IF(Table1[[#This Row],[h_hargasebelumdiskon]]="","",IF(Table1[[#This Row],[Column15]]="",0,(Table1[[#This Row],[h_hargasebelumdiskon]]-Table1[[#This Row],[h_disc 1]])*Table1[[#This Row],[Column15]]))</f>
        <v/>
      </c>
      <c r="AB486" s="237" t="str">
        <f>IF(Table1[[#This Row],[Column12]]="","",Table1[[#This Row],[h_disc 1]]+Table1[[#This Row],[h_disc 2]])</f>
        <v/>
      </c>
      <c r="AC486" s="237" t="str">
        <f>IF(Table1[[#This Row],[Column12]]="","",Table1[[#This Row],[h_hargasebelumdiskon]]-Table1[[#This Row],[h_diskon]])</f>
        <v/>
      </c>
      <c r="AD486" s="237" t="str">
        <f ca="1">IF(Table1[[#This Row],[//]]="","",SUMIF(Table1[h_id],Table1[[#This Row],[h_id]],Table1[h_hargasetelahdiskon]))</f>
        <v/>
      </c>
      <c r="AF486" s="237" t="str">
        <f>Table1[[#This Row],[Column12]]&amp;Table1[[#This Row],[Unit]]&amp;Table1[[#This Row],[Column13]]</f>
        <v/>
      </c>
      <c r="AG486"/>
      <c r="AH486"/>
      <c r="AI486"/>
    </row>
    <row r="487" spans="1:35">
      <c r="A487" s="234" t="str">
        <f ca="1">IF(Table1[[#This Row],[No. Invoice :]]="","",ROW())</f>
        <v/>
      </c>
      <c r="B487" s="234" t="str">
        <f ca="1">IF(Table1[[#This Row],[Column3]]="","",B$1+COUNT(INDIRECT("B$2:B"&amp;ROW()-1)))</f>
        <v/>
      </c>
      <c r="C487" s="235" t="str">
        <f>IF(Table1[[#This Row],[Column2]]="","",Table1[[#This Row],[Column2]]+C$1-1)</f>
        <v/>
      </c>
      <c r="E487" s="236"/>
      <c r="F487" s="234"/>
      <c r="G487" s="234" t="str">
        <f ca="1">IF(Table1[[#This Row],[h_No. Invoice :]]="","",CONCATENATE("AM"," ",Table1[[#This Row],[h_No. Invoice :]]))</f>
        <v/>
      </c>
      <c r="H487" s="234" t="str">
        <f>IF(Table1[[#This Row],[Column5]]="","",INDEX(Table2[Column1],MATCH(Table1[[#This Row],[Column5]],Table2[a],0)))</f>
        <v/>
      </c>
      <c r="I487" s="234" t="str">
        <f>IF(Table1[[#This Row],[Column3]]=0,"",CONCATENATE(UPPER(Table1[[#This Row],[Column3]])," ",Table1[[#This Row],[Column4]]))</f>
        <v xml:space="preserve"> </v>
      </c>
      <c r="J487" s="234" t="str">
        <f>IF(Table1[[#This Row],[Column5]]="","",INDEX(Table2[e],IF(Table1[[#This Row],[Column5]]="","",MATCH(Table1[[#This Row],[Column5]],Table2[a],0)),))</f>
        <v/>
      </c>
      <c r="K487" s="234"/>
      <c r="L487" s="234"/>
      <c r="O487" s="234" t="str">
        <f>IF(Table1[[#This Row],[h_Item Description]]="","",INDEX([1]!db[NB PAJAK],MATCH(Table1[[#This Row],[h_Item Description]],[1]!db[kode],0)))</f>
        <v/>
      </c>
      <c r="Q487" s="237"/>
      <c r="R487" s="238"/>
      <c r="S487" s="238"/>
      <c r="T487" s="237" t="str">
        <f>Table1[[#This Row],[h_hargasetelahdiskon]]</f>
        <v/>
      </c>
      <c r="V487" s="234"/>
      <c r="W487" s="234" t="str">
        <f ca="1">IF(Table1[[#This Row],[Column12]]="","",IF(Table1[[#This Row],[//]]="",INDIRECT(ADDRESS(ROW()-1,COLUMN())),Table1[[#This Row],[//]]))</f>
        <v/>
      </c>
      <c r="X487" s="234" t="str">
        <f ca="1">IF(Table1[[#This Row],[h_id]]="","",COUNTIF(Table1[h_id],Table1[[#This Row],[h_id]]))</f>
        <v/>
      </c>
      <c r="Y487" s="237" t="str">
        <f>IF(Table1[[#This Row],[Column12]]="","",Table1[[#This Row],[Qty]]*Table1[[#This Row],[Column13]])</f>
        <v/>
      </c>
      <c r="Z487" s="237" t="str">
        <f>IF(Table1[[#This Row],[h_hargasebelumdiskon]]="","",IF(Table1[[#This Row],[Column14]]="",0,Table1[[#This Row],[h_hargasebelumdiskon]]*Table1[[#This Row],[Column14]]))</f>
        <v/>
      </c>
      <c r="AA487" s="237" t="str">
        <f>IF(Table1[[#This Row],[h_hargasebelumdiskon]]="","",IF(Table1[[#This Row],[Column15]]="",0,(Table1[[#This Row],[h_hargasebelumdiskon]]-Table1[[#This Row],[h_disc 1]])*Table1[[#This Row],[Column15]]))</f>
        <v/>
      </c>
      <c r="AB487" s="237" t="str">
        <f>IF(Table1[[#This Row],[Column12]]="","",Table1[[#This Row],[h_disc 1]]+Table1[[#This Row],[h_disc 2]])</f>
        <v/>
      </c>
      <c r="AC487" s="237" t="str">
        <f>IF(Table1[[#This Row],[Column12]]="","",Table1[[#This Row],[h_hargasebelumdiskon]]-Table1[[#This Row],[h_diskon]])</f>
        <v/>
      </c>
      <c r="AD487" s="237" t="str">
        <f ca="1">IF(Table1[[#This Row],[//]]="","",SUMIF(Table1[h_id],Table1[[#This Row],[h_id]],Table1[h_hargasetelahdiskon]))</f>
        <v/>
      </c>
      <c r="AF487" s="237" t="str">
        <f>Table1[[#This Row],[Column12]]&amp;Table1[[#This Row],[Unit]]&amp;Table1[[#This Row],[Column13]]</f>
        <v/>
      </c>
      <c r="AG487"/>
      <c r="AH487"/>
      <c r="AI487"/>
    </row>
    <row r="488" spans="1:35">
      <c r="A488" s="234" t="str">
        <f ca="1">IF(Table1[[#This Row],[No. Invoice :]]="","",ROW())</f>
        <v/>
      </c>
      <c r="B488" s="234" t="str">
        <f ca="1">IF(Table1[[#This Row],[Column3]]="","",B$1+COUNT(INDIRECT("B$2:B"&amp;ROW()-1)))</f>
        <v/>
      </c>
      <c r="C488" s="235" t="str">
        <f>IF(Table1[[#This Row],[Column2]]="","",Table1[[#This Row],[Column2]]+C$1-1)</f>
        <v/>
      </c>
      <c r="E488" s="236"/>
      <c r="F488" s="234"/>
      <c r="G488" s="234" t="str">
        <f ca="1">IF(Table1[[#This Row],[h_No. Invoice :]]="","",CONCATENATE("AM"," ",Table1[[#This Row],[h_No. Invoice :]]))</f>
        <v/>
      </c>
      <c r="H488" s="234" t="str">
        <f>IF(Table1[[#This Row],[Column5]]="","",INDEX(Table2[Column1],MATCH(Table1[[#This Row],[Column5]],Table2[a],0)))</f>
        <v/>
      </c>
      <c r="I488" s="234" t="str">
        <f>IF(Table1[[#This Row],[Column3]]=0,"",CONCATENATE(UPPER(Table1[[#This Row],[Column3]])," ",Table1[[#This Row],[Column4]]))</f>
        <v xml:space="preserve"> </v>
      </c>
      <c r="J488" s="234" t="str">
        <f>IF(Table1[[#This Row],[Column5]]="","",INDEX(Table2[e],IF(Table1[[#This Row],[Column5]]="","",MATCH(Table1[[#This Row],[Column5]],Table2[a],0)),))</f>
        <v/>
      </c>
      <c r="K488" s="234"/>
      <c r="L488" s="234"/>
      <c r="O488" s="234" t="str">
        <f>IF(Table1[[#This Row],[h_Item Description]]="","",INDEX([1]!db[NB PAJAK],MATCH(Table1[[#This Row],[h_Item Description]],[1]!db[kode],0)))</f>
        <v/>
      </c>
      <c r="Q488" s="237"/>
      <c r="R488" s="238"/>
      <c r="S488" s="238"/>
      <c r="T488" s="237" t="str">
        <f>Table1[[#This Row],[h_hargasetelahdiskon]]</f>
        <v/>
      </c>
      <c r="V488" s="234"/>
      <c r="W488" s="234" t="str">
        <f ca="1">IF(Table1[[#This Row],[Column12]]="","",IF(Table1[[#This Row],[//]]="",INDIRECT(ADDRESS(ROW()-1,COLUMN())),Table1[[#This Row],[//]]))</f>
        <v/>
      </c>
      <c r="X488" s="234" t="str">
        <f ca="1">IF(Table1[[#This Row],[h_id]]="","",COUNTIF(Table1[h_id],Table1[[#This Row],[h_id]]))</f>
        <v/>
      </c>
      <c r="Y488" s="237" t="str">
        <f>IF(Table1[[#This Row],[Column12]]="","",Table1[[#This Row],[Qty]]*Table1[[#This Row],[Column13]])</f>
        <v/>
      </c>
      <c r="Z488" s="237" t="str">
        <f>IF(Table1[[#This Row],[h_hargasebelumdiskon]]="","",IF(Table1[[#This Row],[Column14]]="",0,Table1[[#This Row],[h_hargasebelumdiskon]]*Table1[[#This Row],[Column14]]))</f>
        <v/>
      </c>
      <c r="AA488" s="237" t="str">
        <f>IF(Table1[[#This Row],[h_hargasebelumdiskon]]="","",IF(Table1[[#This Row],[Column15]]="",0,(Table1[[#This Row],[h_hargasebelumdiskon]]-Table1[[#This Row],[h_disc 1]])*Table1[[#This Row],[Column15]]))</f>
        <v/>
      </c>
      <c r="AB488" s="237" t="str">
        <f>IF(Table1[[#This Row],[Column12]]="","",Table1[[#This Row],[h_disc 1]]+Table1[[#This Row],[h_disc 2]])</f>
        <v/>
      </c>
      <c r="AC488" s="237" t="str">
        <f>IF(Table1[[#This Row],[Column12]]="","",Table1[[#This Row],[h_hargasebelumdiskon]]-Table1[[#This Row],[h_diskon]])</f>
        <v/>
      </c>
      <c r="AD488" s="237" t="str">
        <f ca="1">IF(Table1[[#This Row],[//]]="","",SUMIF(Table1[h_id],Table1[[#This Row],[h_id]],Table1[h_hargasetelahdiskon]))</f>
        <v/>
      </c>
      <c r="AF488" s="237" t="str">
        <f>Table1[[#This Row],[Column12]]&amp;Table1[[#This Row],[Unit]]&amp;Table1[[#This Row],[Column13]]</f>
        <v/>
      </c>
      <c r="AG488"/>
      <c r="AH488"/>
      <c r="AI488"/>
    </row>
    <row r="489" spans="1:35">
      <c r="A489" s="234" t="str">
        <f ca="1">IF(Table1[[#This Row],[No. Invoice :]]="","",ROW())</f>
        <v/>
      </c>
      <c r="B489" s="234" t="str">
        <f ca="1">IF(Table1[[#This Row],[Column3]]="","",B$1+COUNT(INDIRECT("B$2:B"&amp;ROW()-1)))</f>
        <v/>
      </c>
      <c r="C489" s="235" t="str">
        <f>IF(Table1[[#This Row],[Column2]]="","",Table1[[#This Row],[Column2]]+C$1-1)</f>
        <v/>
      </c>
      <c r="E489" s="236"/>
      <c r="F489" s="234"/>
      <c r="G489" s="234" t="str">
        <f ca="1">IF(Table1[[#This Row],[h_No. Invoice :]]="","",CONCATENATE("AM"," ",Table1[[#This Row],[h_No. Invoice :]]))</f>
        <v/>
      </c>
      <c r="H489" s="234" t="str">
        <f>IF(Table1[[#This Row],[Column5]]="","",INDEX(Table2[Column1],MATCH(Table1[[#This Row],[Column5]],Table2[a],0)))</f>
        <v/>
      </c>
      <c r="I489" s="234" t="str">
        <f>IF(Table1[[#This Row],[Column3]]=0,"",CONCATENATE(UPPER(Table1[[#This Row],[Column3]])," ",Table1[[#This Row],[Column4]]))</f>
        <v xml:space="preserve"> </v>
      </c>
      <c r="J489" s="234" t="str">
        <f>IF(Table1[[#This Row],[Column5]]="","",INDEX(Table2[e],IF(Table1[[#This Row],[Column5]]="","",MATCH(Table1[[#This Row],[Column5]],Table2[a],0)),))</f>
        <v/>
      </c>
      <c r="K489" s="234"/>
      <c r="L489" s="234"/>
      <c r="O489" s="234" t="str">
        <f>IF(Table1[[#This Row],[h_Item Description]]="","",INDEX([1]!db[NB PAJAK],MATCH(Table1[[#This Row],[h_Item Description]],[1]!db[kode],0)))</f>
        <v/>
      </c>
      <c r="Q489" s="237"/>
      <c r="R489" s="238"/>
      <c r="S489" s="238"/>
      <c r="T489" s="237" t="str">
        <f>Table1[[#This Row],[h_hargasetelahdiskon]]</f>
        <v/>
      </c>
      <c r="V489" s="234"/>
      <c r="W489" s="234" t="str">
        <f ca="1">IF(Table1[[#This Row],[Column12]]="","",IF(Table1[[#This Row],[//]]="",INDIRECT(ADDRESS(ROW()-1,COLUMN())),Table1[[#This Row],[//]]))</f>
        <v/>
      </c>
      <c r="X489" s="234" t="str">
        <f ca="1">IF(Table1[[#This Row],[h_id]]="","",COUNTIF(Table1[h_id],Table1[[#This Row],[h_id]]))</f>
        <v/>
      </c>
      <c r="Y489" s="237" t="str">
        <f>IF(Table1[[#This Row],[Column12]]="","",Table1[[#This Row],[Qty]]*Table1[[#This Row],[Column13]])</f>
        <v/>
      </c>
      <c r="Z489" s="237" t="str">
        <f>IF(Table1[[#This Row],[h_hargasebelumdiskon]]="","",IF(Table1[[#This Row],[Column14]]="",0,Table1[[#This Row],[h_hargasebelumdiskon]]*Table1[[#This Row],[Column14]]))</f>
        <v/>
      </c>
      <c r="AA489" s="237" t="str">
        <f>IF(Table1[[#This Row],[h_hargasebelumdiskon]]="","",IF(Table1[[#This Row],[Column15]]="",0,(Table1[[#This Row],[h_hargasebelumdiskon]]-Table1[[#This Row],[h_disc 1]])*Table1[[#This Row],[Column15]]))</f>
        <v/>
      </c>
      <c r="AB489" s="237" t="str">
        <f>IF(Table1[[#This Row],[Column12]]="","",Table1[[#This Row],[h_disc 1]]+Table1[[#This Row],[h_disc 2]])</f>
        <v/>
      </c>
      <c r="AC489" s="237" t="str">
        <f>IF(Table1[[#This Row],[Column12]]="","",Table1[[#This Row],[h_hargasebelumdiskon]]-Table1[[#This Row],[h_diskon]])</f>
        <v/>
      </c>
      <c r="AD489" s="237" t="str">
        <f ca="1">IF(Table1[[#This Row],[//]]="","",SUMIF(Table1[h_id],Table1[[#This Row],[h_id]],Table1[h_hargasetelahdiskon]))</f>
        <v/>
      </c>
      <c r="AF489" s="237" t="str">
        <f>Table1[[#This Row],[Column12]]&amp;Table1[[#This Row],[Unit]]&amp;Table1[[#This Row],[Column13]]</f>
        <v/>
      </c>
      <c r="AG489"/>
      <c r="AH489"/>
      <c r="AI489"/>
    </row>
    <row r="490" spans="1:35">
      <c r="A490" s="234" t="str">
        <f ca="1">IF(Table1[[#This Row],[No. Invoice :]]="","",ROW())</f>
        <v/>
      </c>
      <c r="B490" s="234" t="str">
        <f ca="1">IF(Table1[[#This Row],[Column3]]="","",B$1+COUNT(INDIRECT("B$2:B"&amp;ROW()-1)))</f>
        <v/>
      </c>
      <c r="C490" s="235" t="str">
        <f>IF(Table1[[#This Row],[Column2]]="","",Table1[[#This Row],[Column2]]+C$1-1)</f>
        <v/>
      </c>
      <c r="E490" s="236"/>
      <c r="F490" s="234"/>
      <c r="G490" s="234" t="str">
        <f ca="1">IF(Table1[[#This Row],[h_No. Invoice :]]="","",CONCATENATE("AM"," ",Table1[[#This Row],[h_No. Invoice :]]))</f>
        <v/>
      </c>
      <c r="H490" s="234" t="str">
        <f>IF(Table1[[#This Row],[Column5]]="","",INDEX(Table2[Column1],MATCH(Table1[[#This Row],[Column5]],Table2[a],0)))</f>
        <v/>
      </c>
      <c r="I490" s="234" t="str">
        <f>IF(Table1[[#This Row],[Column3]]=0,"",CONCATENATE(UPPER(Table1[[#This Row],[Column3]])," ",Table1[[#This Row],[Column4]]))</f>
        <v xml:space="preserve"> </v>
      </c>
      <c r="J490" s="234" t="str">
        <f>IF(Table1[[#This Row],[Column5]]="","",INDEX(Table2[e],IF(Table1[[#This Row],[Column5]]="","",MATCH(Table1[[#This Row],[Column5]],Table2[a],0)),))</f>
        <v/>
      </c>
      <c r="K490" s="234"/>
      <c r="L490" s="234"/>
      <c r="O490" s="234" t="str">
        <f>IF(Table1[[#This Row],[h_Item Description]]="","",INDEX([1]!db[NB PAJAK],MATCH(Table1[[#This Row],[h_Item Description]],[1]!db[kode],0)))</f>
        <v/>
      </c>
      <c r="Q490" s="237"/>
      <c r="R490" s="238"/>
      <c r="S490" s="238"/>
      <c r="T490" s="237" t="str">
        <f>Table1[[#This Row],[h_hargasetelahdiskon]]</f>
        <v/>
      </c>
      <c r="V490" s="234"/>
      <c r="W490" s="234" t="str">
        <f ca="1">IF(Table1[[#This Row],[Column12]]="","",IF(Table1[[#This Row],[//]]="",INDIRECT(ADDRESS(ROW()-1,COLUMN())),Table1[[#This Row],[//]]))</f>
        <v/>
      </c>
      <c r="X490" s="234" t="str">
        <f ca="1">IF(Table1[[#This Row],[h_id]]="","",COUNTIF(Table1[h_id],Table1[[#This Row],[h_id]]))</f>
        <v/>
      </c>
      <c r="Y490" s="237" t="str">
        <f>IF(Table1[[#This Row],[Column12]]="","",Table1[[#This Row],[Qty]]*Table1[[#This Row],[Column13]])</f>
        <v/>
      </c>
      <c r="Z490" s="237" t="str">
        <f>IF(Table1[[#This Row],[h_hargasebelumdiskon]]="","",IF(Table1[[#This Row],[Column14]]="",0,Table1[[#This Row],[h_hargasebelumdiskon]]*Table1[[#This Row],[Column14]]))</f>
        <v/>
      </c>
      <c r="AA490" s="237" t="str">
        <f>IF(Table1[[#This Row],[h_hargasebelumdiskon]]="","",IF(Table1[[#This Row],[Column15]]="",0,(Table1[[#This Row],[h_hargasebelumdiskon]]-Table1[[#This Row],[h_disc 1]])*Table1[[#This Row],[Column15]]))</f>
        <v/>
      </c>
      <c r="AB490" s="237" t="str">
        <f>IF(Table1[[#This Row],[Column12]]="","",Table1[[#This Row],[h_disc 1]]+Table1[[#This Row],[h_disc 2]])</f>
        <v/>
      </c>
      <c r="AC490" s="237" t="str">
        <f>IF(Table1[[#This Row],[Column12]]="","",Table1[[#This Row],[h_hargasebelumdiskon]]-Table1[[#This Row],[h_diskon]])</f>
        <v/>
      </c>
      <c r="AD490" s="237" t="str">
        <f ca="1">IF(Table1[[#This Row],[//]]="","",SUMIF(Table1[h_id],Table1[[#This Row],[h_id]],Table1[h_hargasetelahdiskon]))</f>
        <v/>
      </c>
      <c r="AF490" s="237" t="str">
        <f>Table1[[#This Row],[Column12]]&amp;Table1[[#This Row],[Unit]]&amp;Table1[[#This Row],[Column13]]</f>
        <v/>
      </c>
      <c r="AG490"/>
      <c r="AH490"/>
      <c r="AI490"/>
    </row>
    <row r="491" spans="1:35">
      <c r="A491" s="234" t="str">
        <f ca="1">IF(Table1[[#This Row],[No. Invoice :]]="","",ROW())</f>
        <v/>
      </c>
      <c r="B491" s="234" t="str">
        <f ca="1">IF(Table1[[#This Row],[Column3]]="","",B$1+COUNT(INDIRECT("B$2:B"&amp;ROW()-1)))</f>
        <v/>
      </c>
      <c r="C491" s="235" t="str">
        <f>IF(Table1[[#This Row],[Column2]]="","",Table1[[#This Row],[Column2]]+C$1-1)</f>
        <v/>
      </c>
      <c r="E491" s="236"/>
      <c r="F491" s="234"/>
      <c r="G491" s="234" t="str">
        <f ca="1">IF(Table1[[#This Row],[h_No. Invoice :]]="","",CONCATENATE("AM"," ",Table1[[#This Row],[h_No. Invoice :]]))</f>
        <v/>
      </c>
      <c r="H491" s="234" t="str">
        <f>IF(Table1[[#This Row],[Column5]]="","",INDEX(Table2[Column1],MATCH(Table1[[#This Row],[Column5]],Table2[a],0)))</f>
        <v/>
      </c>
      <c r="I491" s="234" t="str">
        <f>IF(Table1[[#This Row],[Column3]]=0,"",CONCATENATE(UPPER(Table1[[#This Row],[Column3]])," ",Table1[[#This Row],[Column4]]))</f>
        <v xml:space="preserve"> </v>
      </c>
      <c r="J491" s="234" t="str">
        <f>IF(Table1[[#This Row],[Column5]]="","",INDEX(Table2[e],IF(Table1[[#This Row],[Column5]]="","",MATCH(Table1[[#This Row],[Column5]],Table2[a],0)),))</f>
        <v/>
      </c>
      <c r="K491" s="234"/>
      <c r="L491" s="234"/>
      <c r="O491" s="234" t="str">
        <f>IF(Table1[[#This Row],[h_Item Description]]="","",INDEX([1]!db[NB PAJAK],MATCH(Table1[[#This Row],[h_Item Description]],[1]!db[kode],0)))</f>
        <v/>
      </c>
      <c r="Q491" s="237"/>
      <c r="R491" s="238"/>
      <c r="S491" s="238"/>
      <c r="T491" s="237" t="str">
        <f>Table1[[#This Row],[h_hargasetelahdiskon]]</f>
        <v/>
      </c>
      <c r="V491" s="234"/>
      <c r="W491" s="234" t="str">
        <f ca="1">IF(Table1[[#This Row],[Column12]]="","",IF(Table1[[#This Row],[//]]="",INDIRECT(ADDRESS(ROW()-1,COLUMN())),Table1[[#This Row],[//]]))</f>
        <v/>
      </c>
      <c r="X491" s="234" t="str">
        <f ca="1">IF(Table1[[#This Row],[h_id]]="","",COUNTIF(Table1[h_id],Table1[[#This Row],[h_id]]))</f>
        <v/>
      </c>
      <c r="Y491" s="237" t="str">
        <f>IF(Table1[[#This Row],[Column12]]="","",Table1[[#This Row],[Qty]]*Table1[[#This Row],[Column13]])</f>
        <v/>
      </c>
      <c r="Z491" s="237" t="str">
        <f>IF(Table1[[#This Row],[h_hargasebelumdiskon]]="","",IF(Table1[[#This Row],[Column14]]="",0,Table1[[#This Row],[h_hargasebelumdiskon]]*Table1[[#This Row],[Column14]]))</f>
        <v/>
      </c>
      <c r="AA491" s="237" t="str">
        <f>IF(Table1[[#This Row],[h_hargasebelumdiskon]]="","",IF(Table1[[#This Row],[Column15]]="",0,(Table1[[#This Row],[h_hargasebelumdiskon]]-Table1[[#This Row],[h_disc 1]])*Table1[[#This Row],[Column15]]))</f>
        <v/>
      </c>
      <c r="AB491" s="237" t="str">
        <f>IF(Table1[[#This Row],[Column12]]="","",Table1[[#This Row],[h_disc 1]]+Table1[[#This Row],[h_disc 2]])</f>
        <v/>
      </c>
      <c r="AC491" s="237" t="str">
        <f>IF(Table1[[#This Row],[Column12]]="","",Table1[[#This Row],[h_hargasebelumdiskon]]-Table1[[#This Row],[h_diskon]])</f>
        <v/>
      </c>
      <c r="AD491" s="237" t="str">
        <f ca="1">IF(Table1[[#This Row],[//]]="","",SUMIF(Table1[h_id],Table1[[#This Row],[h_id]],Table1[h_hargasetelahdiskon]))</f>
        <v/>
      </c>
      <c r="AF491" s="237" t="str">
        <f>Table1[[#This Row],[Column12]]&amp;Table1[[#This Row],[Unit]]&amp;Table1[[#This Row],[Column13]]</f>
        <v/>
      </c>
      <c r="AG491"/>
      <c r="AH491"/>
      <c r="AI491"/>
    </row>
    <row r="492" spans="1:35">
      <c r="A492" s="234" t="str">
        <f ca="1">IF(Table1[[#This Row],[No. Invoice :]]="","",ROW())</f>
        <v/>
      </c>
      <c r="B492" s="234" t="str">
        <f ca="1">IF(Table1[[#This Row],[Column3]]="","",B$1+COUNT(INDIRECT("B$2:B"&amp;ROW()-1)))</f>
        <v/>
      </c>
      <c r="C492" s="235" t="str">
        <f>IF(Table1[[#This Row],[Column2]]="","",Table1[[#This Row],[Column2]]+C$1-1)</f>
        <v/>
      </c>
      <c r="E492" s="236"/>
      <c r="F492" s="234"/>
      <c r="G492" s="234" t="str">
        <f ca="1">IF(Table1[[#This Row],[h_No. Invoice :]]="","",CONCATENATE("AM"," ",Table1[[#This Row],[h_No. Invoice :]]))</f>
        <v/>
      </c>
      <c r="H492" s="234" t="str">
        <f>IF(Table1[[#This Row],[Column5]]="","",INDEX(Table2[Column1],MATCH(Table1[[#This Row],[Column5]],Table2[a],0)))</f>
        <v/>
      </c>
      <c r="I492" s="234" t="str">
        <f>IF(Table1[[#This Row],[Column3]]=0,"",CONCATENATE(UPPER(Table1[[#This Row],[Column3]])," ",Table1[[#This Row],[Column4]]))</f>
        <v xml:space="preserve"> </v>
      </c>
      <c r="J492" s="234" t="str">
        <f>IF(Table1[[#This Row],[Column5]]="","",INDEX(Table2[e],IF(Table1[[#This Row],[Column5]]="","",MATCH(Table1[[#This Row],[Column5]],Table2[a],0)),))</f>
        <v/>
      </c>
      <c r="K492" s="234"/>
      <c r="L492" s="234"/>
      <c r="O492" s="234" t="str">
        <f>IF(Table1[[#This Row],[h_Item Description]]="","",INDEX([1]!db[NB PAJAK],MATCH(Table1[[#This Row],[h_Item Description]],[1]!db[kode],0)))</f>
        <v/>
      </c>
      <c r="Q492" s="237"/>
      <c r="R492" s="238"/>
      <c r="S492" s="238"/>
      <c r="T492" s="237" t="str">
        <f>Table1[[#This Row],[h_hargasetelahdiskon]]</f>
        <v/>
      </c>
      <c r="V492" s="234"/>
      <c r="W492" s="234" t="str">
        <f ca="1">IF(Table1[[#This Row],[Column12]]="","",IF(Table1[[#This Row],[//]]="",INDIRECT(ADDRESS(ROW()-1,COLUMN())),Table1[[#This Row],[//]]))</f>
        <v/>
      </c>
      <c r="X492" s="234" t="str">
        <f ca="1">IF(Table1[[#This Row],[h_id]]="","",COUNTIF(Table1[h_id],Table1[[#This Row],[h_id]]))</f>
        <v/>
      </c>
      <c r="Y492" s="237" t="str">
        <f>IF(Table1[[#This Row],[Column12]]="","",Table1[[#This Row],[Qty]]*Table1[[#This Row],[Column13]])</f>
        <v/>
      </c>
      <c r="Z492" s="237" t="str">
        <f>IF(Table1[[#This Row],[h_hargasebelumdiskon]]="","",IF(Table1[[#This Row],[Column14]]="",0,Table1[[#This Row],[h_hargasebelumdiskon]]*Table1[[#This Row],[Column14]]))</f>
        <v/>
      </c>
      <c r="AA492" s="237" t="str">
        <f>IF(Table1[[#This Row],[h_hargasebelumdiskon]]="","",IF(Table1[[#This Row],[Column15]]="",0,(Table1[[#This Row],[h_hargasebelumdiskon]]-Table1[[#This Row],[h_disc 1]])*Table1[[#This Row],[Column15]]))</f>
        <v/>
      </c>
      <c r="AB492" s="237" t="str">
        <f>IF(Table1[[#This Row],[Column12]]="","",Table1[[#This Row],[h_disc 1]]+Table1[[#This Row],[h_disc 2]])</f>
        <v/>
      </c>
      <c r="AC492" s="237" t="str">
        <f>IF(Table1[[#This Row],[Column12]]="","",Table1[[#This Row],[h_hargasebelumdiskon]]-Table1[[#This Row],[h_diskon]])</f>
        <v/>
      </c>
      <c r="AD492" s="237" t="str">
        <f ca="1">IF(Table1[[#This Row],[//]]="","",SUMIF(Table1[h_id],Table1[[#This Row],[h_id]],Table1[h_hargasetelahdiskon]))</f>
        <v/>
      </c>
      <c r="AF492" s="237" t="str">
        <f>Table1[[#This Row],[Column12]]&amp;Table1[[#This Row],[Unit]]&amp;Table1[[#This Row],[Column13]]</f>
        <v/>
      </c>
      <c r="AG492"/>
      <c r="AH492"/>
      <c r="AI492"/>
    </row>
    <row r="493" spans="1:35">
      <c r="A493" s="234" t="str">
        <f ca="1">IF(Table1[[#This Row],[No. Invoice :]]="","",ROW())</f>
        <v/>
      </c>
      <c r="B493" s="234" t="str">
        <f ca="1">IF(Table1[[#This Row],[Column3]]="","",B$1+COUNT(INDIRECT("B$2:B"&amp;ROW()-1)))</f>
        <v/>
      </c>
      <c r="C493" s="235" t="str">
        <f>IF(Table1[[#This Row],[Column2]]="","",Table1[[#This Row],[Column2]]+C$1-1)</f>
        <v/>
      </c>
      <c r="E493" s="236"/>
      <c r="F493" s="234"/>
      <c r="G493" s="234" t="str">
        <f ca="1">IF(Table1[[#This Row],[h_No. Invoice :]]="","",CONCATENATE("AM"," ",Table1[[#This Row],[h_No. Invoice :]]))</f>
        <v/>
      </c>
      <c r="H493" s="234" t="str">
        <f>IF(Table1[[#This Row],[Column5]]="","",INDEX(Table2[Column1],MATCH(Table1[[#This Row],[Column5]],Table2[a],0)))</f>
        <v/>
      </c>
      <c r="I493" s="234" t="str">
        <f>IF(Table1[[#This Row],[Column3]]=0,"",CONCATENATE(UPPER(Table1[[#This Row],[Column3]])," ",Table1[[#This Row],[Column4]]))</f>
        <v xml:space="preserve"> </v>
      </c>
      <c r="J493" s="234" t="str">
        <f>IF(Table1[[#This Row],[Column5]]="","",INDEX(Table2[e],IF(Table1[[#This Row],[Column5]]="","",MATCH(Table1[[#This Row],[Column5]],Table2[a],0)),))</f>
        <v/>
      </c>
      <c r="K493" s="234"/>
      <c r="L493" s="234"/>
      <c r="O493" s="234" t="str">
        <f>IF(Table1[[#This Row],[h_Item Description]]="","",INDEX([1]!db[NB PAJAK],MATCH(Table1[[#This Row],[h_Item Description]],[1]!db[kode],0)))</f>
        <v/>
      </c>
      <c r="Q493" s="237"/>
      <c r="R493" s="238"/>
      <c r="S493" s="238"/>
      <c r="T493" s="237" t="str">
        <f>Table1[[#This Row],[h_hargasetelahdiskon]]</f>
        <v/>
      </c>
      <c r="V493" s="234"/>
      <c r="W493" s="234" t="str">
        <f ca="1">IF(Table1[[#This Row],[Column12]]="","",IF(Table1[[#This Row],[//]]="",INDIRECT(ADDRESS(ROW()-1,COLUMN())),Table1[[#This Row],[//]]))</f>
        <v/>
      </c>
      <c r="X493" s="234" t="str">
        <f ca="1">IF(Table1[[#This Row],[h_id]]="","",COUNTIF(Table1[h_id],Table1[[#This Row],[h_id]]))</f>
        <v/>
      </c>
      <c r="Y493" s="237" t="str">
        <f>IF(Table1[[#This Row],[Column12]]="","",Table1[[#This Row],[Qty]]*Table1[[#This Row],[Column13]])</f>
        <v/>
      </c>
      <c r="Z493" s="237" t="str">
        <f>IF(Table1[[#This Row],[h_hargasebelumdiskon]]="","",IF(Table1[[#This Row],[Column14]]="",0,Table1[[#This Row],[h_hargasebelumdiskon]]*Table1[[#This Row],[Column14]]))</f>
        <v/>
      </c>
      <c r="AA493" s="237" t="str">
        <f>IF(Table1[[#This Row],[h_hargasebelumdiskon]]="","",IF(Table1[[#This Row],[Column15]]="",0,(Table1[[#This Row],[h_hargasebelumdiskon]]-Table1[[#This Row],[h_disc 1]])*Table1[[#This Row],[Column15]]))</f>
        <v/>
      </c>
      <c r="AB493" s="237" t="str">
        <f>IF(Table1[[#This Row],[Column12]]="","",Table1[[#This Row],[h_disc 1]]+Table1[[#This Row],[h_disc 2]])</f>
        <v/>
      </c>
      <c r="AC493" s="237" t="str">
        <f>IF(Table1[[#This Row],[Column12]]="","",Table1[[#This Row],[h_hargasebelumdiskon]]-Table1[[#This Row],[h_diskon]])</f>
        <v/>
      </c>
      <c r="AD493" s="237" t="str">
        <f ca="1">IF(Table1[[#This Row],[//]]="","",SUMIF(Table1[h_id],Table1[[#This Row],[h_id]],Table1[h_hargasetelahdiskon]))</f>
        <v/>
      </c>
      <c r="AF493" s="237" t="str">
        <f>Table1[[#This Row],[Column12]]&amp;Table1[[#This Row],[Unit]]&amp;Table1[[#This Row],[Column13]]</f>
        <v/>
      </c>
      <c r="AG493"/>
      <c r="AH493"/>
      <c r="AI493"/>
    </row>
    <row r="494" spans="1:35">
      <c r="A494" s="234" t="str">
        <f ca="1">IF(Table1[[#This Row],[No. Invoice :]]="","",ROW())</f>
        <v/>
      </c>
      <c r="B494" s="234" t="str">
        <f ca="1">IF(Table1[[#This Row],[Column3]]="","",B$1+COUNT(INDIRECT("B$2:B"&amp;ROW()-1)))</f>
        <v/>
      </c>
      <c r="C494" s="235" t="str">
        <f>IF(Table1[[#This Row],[Column2]]="","",Table1[[#This Row],[Column2]]+C$1-1)</f>
        <v/>
      </c>
      <c r="E494" s="236"/>
      <c r="F494" s="234"/>
      <c r="G494" s="234" t="str">
        <f ca="1">IF(Table1[[#This Row],[h_No. Invoice :]]="","",CONCATENATE("AM"," ",Table1[[#This Row],[h_No. Invoice :]]))</f>
        <v/>
      </c>
      <c r="H494" s="234" t="str">
        <f>IF(Table1[[#This Row],[Column5]]="","",INDEX(Table2[Column1],MATCH(Table1[[#This Row],[Column5]],Table2[a],0)))</f>
        <v/>
      </c>
      <c r="I494" s="234" t="str">
        <f>IF(Table1[[#This Row],[Column3]]=0,"",CONCATENATE(UPPER(Table1[[#This Row],[Column3]])," ",Table1[[#This Row],[Column4]]))</f>
        <v xml:space="preserve"> </v>
      </c>
      <c r="J494" s="234" t="str">
        <f>IF(Table1[[#This Row],[Column5]]="","",INDEX(Table2[e],IF(Table1[[#This Row],[Column5]]="","",MATCH(Table1[[#This Row],[Column5]],Table2[a],0)),))</f>
        <v/>
      </c>
      <c r="K494" s="234"/>
      <c r="L494" s="234"/>
      <c r="O494" s="234" t="str">
        <f>IF(Table1[[#This Row],[h_Item Description]]="","",INDEX([1]!db[NB PAJAK],MATCH(Table1[[#This Row],[h_Item Description]],[1]!db[kode],0)))</f>
        <v/>
      </c>
      <c r="Q494" s="237"/>
      <c r="R494" s="238"/>
      <c r="S494" s="238"/>
      <c r="T494" s="237" t="str">
        <f>Table1[[#This Row],[h_hargasetelahdiskon]]</f>
        <v/>
      </c>
      <c r="V494" s="234"/>
      <c r="W494" s="234" t="str">
        <f ca="1">IF(Table1[[#This Row],[Column12]]="","",IF(Table1[[#This Row],[//]]="",INDIRECT(ADDRESS(ROW()-1,COLUMN())),Table1[[#This Row],[//]]))</f>
        <v/>
      </c>
      <c r="X494" s="234" t="str">
        <f ca="1">IF(Table1[[#This Row],[h_id]]="","",COUNTIF(Table1[h_id],Table1[[#This Row],[h_id]]))</f>
        <v/>
      </c>
      <c r="Y494" s="237" t="str">
        <f>IF(Table1[[#This Row],[Column12]]="","",Table1[[#This Row],[Qty]]*Table1[[#This Row],[Column13]])</f>
        <v/>
      </c>
      <c r="Z494" s="237" t="str">
        <f>IF(Table1[[#This Row],[h_hargasebelumdiskon]]="","",IF(Table1[[#This Row],[Column14]]="",0,Table1[[#This Row],[h_hargasebelumdiskon]]*Table1[[#This Row],[Column14]]))</f>
        <v/>
      </c>
      <c r="AA494" s="237" t="str">
        <f>IF(Table1[[#This Row],[h_hargasebelumdiskon]]="","",IF(Table1[[#This Row],[Column15]]="",0,(Table1[[#This Row],[h_hargasebelumdiskon]]-Table1[[#This Row],[h_disc 1]])*Table1[[#This Row],[Column15]]))</f>
        <v/>
      </c>
      <c r="AB494" s="237" t="str">
        <f>IF(Table1[[#This Row],[Column12]]="","",Table1[[#This Row],[h_disc 1]]+Table1[[#This Row],[h_disc 2]])</f>
        <v/>
      </c>
      <c r="AC494" s="237" t="str">
        <f>IF(Table1[[#This Row],[Column12]]="","",Table1[[#This Row],[h_hargasebelumdiskon]]-Table1[[#This Row],[h_diskon]])</f>
        <v/>
      </c>
      <c r="AD494" s="237" t="str">
        <f ca="1">IF(Table1[[#This Row],[//]]="","",SUMIF(Table1[h_id],Table1[[#This Row],[h_id]],Table1[h_hargasetelahdiskon]))</f>
        <v/>
      </c>
      <c r="AF494" s="237" t="str">
        <f>Table1[[#This Row],[Column12]]&amp;Table1[[#This Row],[Unit]]&amp;Table1[[#This Row],[Column13]]</f>
        <v/>
      </c>
      <c r="AG494"/>
      <c r="AH494"/>
      <c r="AI494"/>
    </row>
    <row r="495" spans="1:35">
      <c r="A495" s="234" t="str">
        <f ca="1">IF(Table1[[#This Row],[No. Invoice :]]="","",ROW())</f>
        <v/>
      </c>
      <c r="B495" s="234" t="str">
        <f ca="1">IF(Table1[[#This Row],[Column3]]="","",B$1+COUNT(INDIRECT("B$2:B"&amp;ROW()-1)))</f>
        <v/>
      </c>
      <c r="C495" s="235" t="str">
        <f>IF(Table1[[#This Row],[Column2]]="","",Table1[[#This Row],[Column2]]+C$1-1)</f>
        <v/>
      </c>
      <c r="E495" s="236"/>
      <c r="F495" s="234"/>
      <c r="G495" s="234" t="str">
        <f ca="1">IF(Table1[[#This Row],[h_No. Invoice :]]="","",CONCATENATE("AM"," ",Table1[[#This Row],[h_No. Invoice :]]))</f>
        <v/>
      </c>
      <c r="H495" s="234" t="str">
        <f>IF(Table1[[#This Row],[Column5]]="","",INDEX(Table2[Column1],MATCH(Table1[[#This Row],[Column5]],Table2[a],0)))</f>
        <v/>
      </c>
      <c r="I495" s="234" t="str">
        <f>IF(Table1[[#This Row],[Column3]]=0,"",CONCATENATE(UPPER(Table1[[#This Row],[Column3]])," ",Table1[[#This Row],[Column4]]))</f>
        <v xml:space="preserve"> </v>
      </c>
      <c r="J495" s="234" t="str">
        <f>IF(Table1[[#This Row],[Column5]]="","",INDEX(Table2[e],IF(Table1[[#This Row],[Column5]]="","",MATCH(Table1[[#This Row],[Column5]],Table2[a],0)),))</f>
        <v/>
      </c>
      <c r="K495" s="234"/>
      <c r="L495" s="234"/>
      <c r="O495" s="234" t="str">
        <f>IF(Table1[[#This Row],[h_Item Description]]="","",INDEX([1]!db[NB PAJAK],MATCH(Table1[[#This Row],[h_Item Description]],[1]!db[kode],0)))</f>
        <v/>
      </c>
      <c r="Q495" s="237"/>
      <c r="R495" s="238"/>
      <c r="S495" s="238"/>
      <c r="T495" s="237" t="str">
        <f>Table1[[#This Row],[h_hargasetelahdiskon]]</f>
        <v/>
      </c>
      <c r="V495" s="234"/>
      <c r="W495" s="234" t="str">
        <f ca="1">IF(Table1[[#This Row],[Column12]]="","",IF(Table1[[#This Row],[//]]="",INDIRECT(ADDRESS(ROW()-1,COLUMN())),Table1[[#This Row],[//]]))</f>
        <v/>
      </c>
      <c r="X495" s="234" t="str">
        <f ca="1">IF(Table1[[#This Row],[h_id]]="","",COUNTIF(Table1[h_id],Table1[[#This Row],[h_id]]))</f>
        <v/>
      </c>
      <c r="Y495" s="237" t="str">
        <f>IF(Table1[[#This Row],[Column12]]="","",Table1[[#This Row],[Qty]]*Table1[[#This Row],[Column13]])</f>
        <v/>
      </c>
      <c r="Z495" s="237" t="str">
        <f>IF(Table1[[#This Row],[h_hargasebelumdiskon]]="","",IF(Table1[[#This Row],[Column14]]="",0,Table1[[#This Row],[h_hargasebelumdiskon]]*Table1[[#This Row],[Column14]]))</f>
        <v/>
      </c>
      <c r="AA495" s="237" t="str">
        <f>IF(Table1[[#This Row],[h_hargasebelumdiskon]]="","",IF(Table1[[#This Row],[Column15]]="",0,(Table1[[#This Row],[h_hargasebelumdiskon]]-Table1[[#This Row],[h_disc 1]])*Table1[[#This Row],[Column15]]))</f>
        <v/>
      </c>
      <c r="AB495" s="237" t="str">
        <f>IF(Table1[[#This Row],[Column12]]="","",Table1[[#This Row],[h_disc 1]]+Table1[[#This Row],[h_disc 2]])</f>
        <v/>
      </c>
      <c r="AC495" s="237" t="str">
        <f>IF(Table1[[#This Row],[Column12]]="","",Table1[[#This Row],[h_hargasebelumdiskon]]-Table1[[#This Row],[h_diskon]])</f>
        <v/>
      </c>
      <c r="AD495" s="237" t="str">
        <f ca="1">IF(Table1[[#This Row],[//]]="","",SUMIF(Table1[h_id],Table1[[#This Row],[h_id]],Table1[h_hargasetelahdiskon]))</f>
        <v/>
      </c>
      <c r="AF495" s="237" t="str">
        <f>Table1[[#This Row],[Column12]]&amp;Table1[[#This Row],[Unit]]&amp;Table1[[#This Row],[Column13]]</f>
        <v/>
      </c>
      <c r="AG495"/>
      <c r="AH495"/>
      <c r="AI495"/>
    </row>
    <row r="496" spans="1:35">
      <c r="A496" s="234" t="str">
        <f ca="1">IF(Table1[[#This Row],[No. Invoice :]]="","",ROW())</f>
        <v/>
      </c>
      <c r="B496" s="234" t="str">
        <f ca="1">IF(Table1[[#This Row],[Column3]]="","",B$1+COUNT(INDIRECT("B$2:B"&amp;ROW()-1)))</f>
        <v/>
      </c>
      <c r="C496" s="235" t="str">
        <f>IF(Table1[[#This Row],[Column2]]="","",Table1[[#This Row],[Column2]]+C$1-1)</f>
        <v/>
      </c>
      <c r="E496" s="236"/>
      <c r="F496" s="234"/>
      <c r="G496" s="234" t="str">
        <f ca="1">IF(Table1[[#This Row],[h_No. Invoice :]]="","",CONCATENATE("AM"," ",Table1[[#This Row],[h_No. Invoice :]]))</f>
        <v/>
      </c>
      <c r="H496" s="234" t="str">
        <f>IF(Table1[[#This Row],[Column5]]="","",INDEX(Table2[Column1],MATCH(Table1[[#This Row],[Column5]],Table2[a],0)))</f>
        <v/>
      </c>
      <c r="I496" s="234" t="str">
        <f>IF(Table1[[#This Row],[Column3]]=0,"",CONCATENATE(UPPER(Table1[[#This Row],[Column3]])," ",Table1[[#This Row],[Column4]]))</f>
        <v xml:space="preserve"> </v>
      </c>
      <c r="J496" s="234" t="str">
        <f>IF(Table1[[#This Row],[Column5]]="","",INDEX(Table2[e],IF(Table1[[#This Row],[Column5]]="","",MATCH(Table1[[#This Row],[Column5]],Table2[a],0)),))</f>
        <v/>
      </c>
      <c r="K496" s="234"/>
      <c r="L496" s="234"/>
      <c r="O496" s="234" t="str">
        <f>IF(Table1[[#This Row],[h_Item Description]]="","",INDEX([1]!db[NB PAJAK],MATCH(Table1[[#This Row],[h_Item Description]],[1]!db[kode],0)))</f>
        <v/>
      </c>
      <c r="Q496" s="237"/>
      <c r="R496" s="238"/>
      <c r="S496" s="238"/>
      <c r="T496" s="237" t="str">
        <f>Table1[[#This Row],[h_hargasetelahdiskon]]</f>
        <v/>
      </c>
      <c r="V496" s="234"/>
      <c r="W496" s="234" t="str">
        <f ca="1">IF(Table1[[#This Row],[Column12]]="","",IF(Table1[[#This Row],[//]]="",INDIRECT(ADDRESS(ROW()-1,COLUMN())),Table1[[#This Row],[//]]))</f>
        <v/>
      </c>
      <c r="X496" s="234" t="str">
        <f ca="1">IF(Table1[[#This Row],[h_id]]="","",COUNTIF(Table1[h_id],Table1[[#This Row],[h_id]]))</f>
        <v/>
      </c>
      <c r="Y496" s="237" t="str">
        <f>IF(Table1[[#This Row],[Column12]]="","",Table1[[#This Row],[Qty]]*Table1[[#This Row],[Column13]])</f>
        <v/>
      </c>
      <c r="Z496" s="237" t="str">
        <f>IF(Table1[[#This Row],[h_hargasebelumdiskon]]="","",IF(Table1[[#This Row],[Column14]]="",0,Table1[[#This Row],[h_hargasebelumdiskon]]*Table1[[#This Row],[Column14]]))</f>
        <v/>
      </c>
      <c r="AA496" s="237" t="str">
        <f>IF(Table1[[#This Row],[h_hargasebelumdiskon]]="","",IF(Table1[[#This Row],[Column15]]="",0,(Table1[[#This Row],[h_hargasebelumdiskon]]-Table1[[#This Row],[h_disc 1]])*Table1[[#This Row],[Column15]]))</f>
        <v/>
      </c>
      <c r="AB496" s="237" t="str">
        <f>IF(Table1[[#This Row],[Column12]]="","",Table1[[#This Row],[h_disc 1]]+Table1[[#This Row],[h_disc 2]])</f>
        <v/>
      </c>
      <c r="AC496" s="237" t="str">
        <f>IF(Table1[[#This Row],[Column12]]="","",Table1[[#This Row],[h_hargasebelumdiskon]]-Table1[[#This Row],[h_diskon]])</f>
        <v/>
      </c>
      <c r="AD496" s="237" t="str">
        <f ca="1">IF(Table1[[#This Row],[//]]="","",SUMIF(Table1[h_id],Table1[[#This Row],[h_id]],Table1[h_hargasetelahdiskon]))</f>
        <v/>
      </c>
      <c r="AF496" s="237" t="str">
        <f>Table1[[#This Row],[Column12]]&amp;Table1[[#This Row],[Unit]]&amp;Table1[[#This Row],[Column13]]</f>
        <v/>
      </c>
      <c r="AG496"/>
      <c r="AH496"/>
      <c r="AI496"/>
    </row>
    <row r="497" spans="1:35">
      <c r="A497" s="234" t="str">
        <f ca="1">IF(Table1[[#This Row],[No. Invoice :]]="","",ROW())</f>
        <v/>
      </c>
      <c r="B497" s="234" t="str">
        <f ca="1">IF(Table1[[#This Row],[Column3]]="","",B$1+COUNT(INDIRECT("B$2:B"&amp;ROW()-1)))</f>
        <v/>
      </c>
      <c r="C497" s="235" t="str">
        <f>IF(Table1[[#This Row],[Column2]]="","",Table1[[#This Row],[Column2]]+C$1-1)</f>
        <v/>
      </c>
      <c r="E497" s="236"/>
      <c r="F497" s="234"/>
      <c r="G497" s="234" t="str">
        <f ca="1">IF(Table1[[#This Row],[h_No. Invoice :]]="","",CONCATENATE("AM"," ",Table1[[#This Row],[h_No. Invoice :]]))</f>
        <v/>
      </c>
      <c r="H497" s="234" t="str">
        <f>IF(Table1[[#This Row],[Column5]]="","",INDEX(Table2[Column1],MATCH(Table1[[#This Row],[Column5]],Table2[a],0)))</f>
        <v/>
      </c>
      <c r="I497" s="234" t="str">
        <f>IF(Table1[[#This Row],[Column3]]=0,"",CONCATENATE(UPPER(Table1[[#This Row],[Column3]])," ",Table1[[#This Row],[Column4]]))</f>
        <v xml:space="preserve"> </v>
      </c>
      <c r="J497" s="234" t="str">
        <f>IF(Table1[[#This Row],[Column5]]="","",INDEX(Table2[e],IF(Table1[[#This Row],[Column5]]="","",MATCH(Table1[[#This Row],[Column5]],Table2[a],0)),))</f>
        <v/>
      </c>
      <c r="K497" s="234"/>
      <c r="L497" s="234"/>
      <c r="O497" s="234" t="str">
        <f>IF(Table1[[#This Row],[h_Item Description]]="","",INDEX([1]!db[NB PAJAK],MATCH(Table1[[#This Row],[h_Item Description]],[1]!db[kode],0)))</f>
        <v/>
      </c>
      <c r="Q497" s="237"/>
      <c r="R497" s="238"/>
      <c r="S497" s="238"/>
      <c r="T497" s="237" t="str">
        <f>Table1[[#This Row],[h_hargasetelahdiskon]]</f>
        <v/>
      </c>
      <c r="V497" s="234"/>
      <c r="W497" s="234" t="str">
        <f ca="1">IF(Table1[[#This Row],[Column12]]="","",IF(Table1[[#This Row],[//]]="",INDIRECT(ADDRESS(ROW()-1,COLUMN())),Table1[[#This Row],[//]]))</f>
        <v/>
      </c>
      <c r="X497" s="234" t="str">
        <f ca="1">IF(Table1[[#This Row],[h_id]]="","",COUNTIF(Table1[h_id],Table1[[#This Row],[h_id]]))</f>
        <v/>
      </c>
      <c r="Y497" s="237" t="str">
        <f>IF(Table1[[#This Row],[Column12]]="","",Table1[[#This Row],[Qty]]*Table1[[#This Row],[Column13]])</f>
        <v/>
      </c>
      <c r="Z497" s="237" t="str">
        <f>IF(Table1[[#This Row],[h_hargasebelumdiskon]]="","",IF(Table1[[#This Row],[Column14]]="",0,Table1[[#This Row],[h_hargasebelumdiskon]]*Table1[[#This Row],[Column14]]))</f>
        <v/>
      </c>
      <c r="AA497" s="237" t="str">
        <f>IF(Table1[[#This Row],[h_hargasebelumdiskon]]="","",IF(Table1[[#This Row],[Column15]]="",0,(Table1[[#This Row],[h_hargasebelumdiskon]]-Table1[[#This Row],[h_disc 1]])*Table1[[#This Row],[Column15]]))</f>
        <v/>
      </c>
      <c r="AB497" s="237" t="str">
        <f>IF(Table1[[#This Row],[Column12]]="","",Table1[[#This Row],[h_disc 1]]+Table1[[#This Row],[h_disc 2]])</f>
        <v/>
      </c>
      <c r="AC497" s="237" t="str">
        <f>IF(Table1[[#This Row],[Column12]]="","",Table1[[#This Row],[h_hargasebelumdiskon]]-Table1[[#This Row],[h_diskon]])</f>
        <v/>
      </c>
      <c r="AD497" s="237" t="str">
        <f ca="1">IF(Table1[[#This Row],[//]]="","",SUMIF(Table1[h_id],Table1[[#This Row],[h_id]],Table1[h_hargasetelahdiskon]))</f>
        <v/>
      </c>
      <c r="AF497" s="237" t="str">
        <f>Table1[[#This Row],[Column12]]&amp;Table1[[#This Row],[Unit]]&amp;Table1[[#This Row],[Column13]]</f>
        <v/>
      </c>
      <c r="AG497"/>
      <c r="AH497"/>
      <c r="AI497"/>
    </row>
    <row r="498" spans="1:35">
      <c r="A498" s="234" t="str">
        <f ca="1">IF(Table1[[#This Row],[No. Invoice :]]="","",ROW())</f>
        <v/>
      </c>
      <c r="B498" s="234" t="str">
        <f ca="1">IF(Table1[[#This Row],[Column3]]="","",B$1+COUNT(INDIRECT("B$2:B"&amp;ROW()-1)))</f>
        <v/>
      </c>
      <c r="C498" s="235" t="str">
        <f>IF(Table1[[#This Row],[Column2]]="","",Table1[[#This Row],[Column2]]+C$1-1)</f>
        <v/>
      </c>
      <c r="E498" s="236"/>
      <c r="F498" s="234"/>
      <c r="G498" s="234" t="str">
        <f ca="1">IF(Table1[[#This Row],[h_No. Invoice :]]="","",CONCATENATE("AM"," ",Table1[[#This Row],[h_No. Invoice :]]))</f>
        <v/>
      </c>
      <c r="H498" s="234" t="str">
        <f>IF(Table1[[#This Row],[Column5]]="","",INDEX(Table2[Column1],MATCH(Table1[[#This Row],[Column5]],Table2[a],0)))</f>
        <v/>
      </c>
      <c r="I498" s="234" t="str">
        <f>IF(Table1[[#This Row],[Column3]]=0,"",CONCATENATE(UPPER(Table1[[#This Row],[Column3]])," ",Table1[[#This Row],[Column4]]))</f>
        <v xml:space="preserve"> </v>
      </c>
      <c r="J498" s="234" t="str">
        <f>IF(Table1[[#This Row],[Column5]]="","",INDEX(Table2[e],IF(Table1[[#This Row],[Column5]]="","",MATCH(Table1[[#This Row],[Column5]],Table2[a],0)),))</f>
        <v/>
      </c>
      <c r="K498" s="234"/>
      <c r="L498" s="234"/>
      <c r="O498" s="234" t="str">
        <f>IF(Table1[[#This Row],[h_Item Description]]="","",INDEX([1]!db[NB PAJAK],MATCH(Table1[[#This Row],[h_Item Description]],[1]!db[kode],0)))</f>
        <v/>
      </c>
      <c r="Q498" s="237"/>
      <c r="R498" s="238"/>
      <c r="S498" s="238"/>
      <c r="T498" s="237" t="str">
        <f>Table1[[#This Row],[h_hargasetelahdiskon]]</f>
        <v/>
      </c>
      <c r="V498" s="234"/>
      <c r="W498" s="234" t="str">
        <f ca="1">IF(Table1[[#This Row],[Column12]]="","",IF(Table1[[#This Row],[//]]="",INDIRECT(ADDRESS(ROW()-1,COLUMN())),Table1[[#This Row],[//]]))</f>
        <v/>
      </c>
      <c r="X498" s="234" t="str">
        <f ca="1">IF(Table1[[#This Row],[h_id]]="","",COUNTIF(Table1[h_id],Table1[[#This Row],[h_id]]))</f>
        <v/>
      </c>
      <c r="Y498" s="237" t="str">
        <f>IF(Table1[[#This Row],[Column12]]="","",Table1[[#This Row],[Qty]]*Table1[[#This Row],[Column13]])</f>
        <v/>
      </c>
      <c r="Z498" s="237" t="str">
        <f>IF(Table1[[#This Row],[h_hargasebelumdiskon]]="","",IF(Table1[[#This Row],[Column14]]="",0,Table1[[#This Row],[h_hargasebelumdiskon]]*Table1[[#This Row],[Column14]]))</f>
        <v/>
      </c>
      <c r="AA498" s="237" t="str">
        <f>IF(Table1[[#This Row],[h_hargasebelumdiskon]]="","",IF(Table1[[#This Row],[Column15]]="",0,(Table1[[#This Row],[h_hargasebelumdiskon]]-Table1[[#This Row],[h_disc 1]])*Table1[[#This Row],[Column15]]))</f>
        <v/>
      </c>
      <c r="AB498" s="237" t="str">
        <f>IF(Table1[[#This Row],[Column12]]="","",Table1[[#This Row],[h_disc 1]]+Table1[[#This Row],[h_disc 2]])</f>
        <v/>
      </c>
      <c r="AC498" s="237" t="str">
        <f>IF(Table1[[#This Row],[Column12]]="","",Table1[[#This Row],[h_hargasebelumdiskon]]-Table1[[#This Row],[h_diskon]])</f>
        <v/>
      </c>
      <c r="AD498" s="237" t="str">
        <f ca="1">IF(Table1[[#This Row],[//]]="","",SUMIF(Table1[h_id],Table1[[#This Row],[h_id]],Table1[h_hargasetelahdiskon]))</f>
        <v/>
      </c>
      <c r="AF498" s="237" t="str">
        <f>Table1[[#This Row],[Column12]]&amp;Table1[[#This Row],[Unit]]&amp;Table1[[#This Row],[Column13]]</f>
        <v/>
      </c>
      <c r="AG498"/>
      <c r="AH498"/>
      <c r="AI498"/>
    </row>
    <row r="499" spans="1:35">
      <c r="A499" s="234" t="str">
        <f ca="1">IF(Table1[[#This Row],[No. Invoice :]]="","",ROW())</f>
        <v/>
      </c>
      <c r="B499" s="416" t="str">
        <f ca="1">IF(Table1[[#This Row],[Column3]]="","",B$1+COUNT(INDIRECT("B$2:B"&amp;ROW()-1)))</f>
        <v/>
      </c>
      <c r="C499" s="235" t="str">
        <f>IF(Table1[[#This Row],[Column2]]="","",Table1[[#This Row],[Column2]]+C$1-1)</f>
        <v/>
      </c>
      <c r="D499" s="417"/>
      <c r="E499" s="418"/>
      <c r="F499" s="416"/>
      <c r="G499" s="234" t="str">
        <f ca="1">IF(Table1[[#This Row],[h_No. Invoice :]]="","",CONCATENATE("AM"," ",Table1[[#This Row],[h_No. Invoice :]]))</f>
        <v/>
      </c>
      <c r="H499" s="416" t="str">
        <f>IF(Table1[[#This Row],[Column5]]="","",INDEX(Table2[Column1],MATCH(Table1[[#This Row],[Column5]],Table2[a],0)))</f>
        <v/>
      </c>
      <c r="I499" s="234" t="str">
        <f>IF(Table1[[#This Row],[Column3]]=0,"",CONCATENATE(UPPER(Table1[[#This Row],[Column3]])," ",Table1[[#This Row],[Column4]]))</f>
        <v xml:space="preserve"> </v>
      </c>
      <c r="J499" s="234" t="str">
        <f>IF(Table1[[#This Row],[Column5]]="","",INDEX(Table2[e],IF(Table1[[#This Row],[Column5]]="","",MATCH(Table1[[#This Row],[Column5]],Table2[a],0)),))</f>
        <v/>
      </c>
      <c r="K499" s="234"/>
      <c r="L499" s="234"/>
      <c r="N499" s="416"/>
      <c r="O499" s="416" t="str">
        <f>IF(Table1[[#This Row],[h_Item Description]]="","",INDEX([1]!db[NB PAJAK],MATCH(Table1[[#This Row],[h_Item Description]],[1]!db[kode],0)))</f>
        <v/>
      </c>
      <c r="Q499" s="237"/>
      <c r="R499" s="238"/>
      <c r="S499" s="238"/>
      <c r="T499" s="419" t="str">
        <f>Table1[[#This Row],[h_hargasetelahdiskon]]</f>
        <v/>
      </c>
      <c r="V499" s="234"/>
      <c r="W499" s="234" t="str">
        <f ca="1">IF(Table1[[#This Row],[Column12]]="","",IF(Table1[[#This Row],[//]]="",INDIRECT(ADDRESS(ROW()-1,COLUMN())),Table1[[#This Row],[//]]))</f>
        <v/>
      </c>
      <c r="X499" s="234" t="str">
        <f ca="1">IF(Table1[[#This Row],[h_id]]="","",COUNTIF(Table1[h_id],Table1[[#This Row],[h_id]]))</f>
        <v/>
      </c>
      <c r="Y499" s="237" t="str">
        <f>IF(Table1[[#This Row],[Column12]]="","",Table1[[#This Row],[Qty]]*Table1[[#This Row],[Column13]])</f>
        <v/>
      </c>
      <c r="Z499" s="419" t="str">
        <f>IF(Table1[[#This Row],[h_hargasebelumdiskon]]="","",IF(Table1[[#This Row],[Column14]]="",0,Table1[[#This Row],[h_hargasebelumdiskon]]*Table1[[#This Row],[Column14]]))</f>
        <v/>
      </c>
      <c r="AA499" s="419" t="str">
        <f>IF(Table1[[#This Row],[h_hargasebelumdiskon]]="","",IF(Table1[[#This Row],[Column15]]="",0,(Table1[[#This Row],[h_hargasebelumdiskon]]-Table1[[#This Row],[h_disc 1]])*Table1[[#This Row],[Column15]]))</f>
        <v/>
      </c>
      <c r="AB499" s="237" t="str">
        <f>IF(Table1[[#This Row],[Column12]]="","",Table1[[#This Row],[h_disc 1]]+Table1[[#This Row],[h_disc 2]])</f>
        <v/>
      </c>
      <c r="AC499" s="237" t="str">
        <f>IF(Table1[[#This Row],[Column12]]="","",Table1[[#This Row],[h_hargasebelumdiskon]]-Table1[[#This Row],[h_diskon]])</f>
        <v/>
      </c>
      <c r="AD499" s="237" t="str">
        <f ca="1">IF(Table1[[#This Row],[//]]="","",SUMIF(Table1[h_id],Table1[[#This Row],[h_id]],Table1[h_hargasetelahdiskon]))</f>
        <v/>
      </c>
      <c r="AF499" s="237" t="str">
        <f>Table1[[#This Row],[Column12]]&amp;Table1[[#This Row],[Unit]]&amp;Table1[[#This Row],[Column13]]</f>
        <v/>
      </c>
      <c r="AG499"/>
      <c r="AH499"/>
      <c r="AI499"/>
    </row>
    <row r="500" spans="1:35">
      <c r="A500" s="234" t="str">
        <f ca="1">IF(Table1[[#This Row],[No. Invoice :]]="","",ROW())</f>
        <v/>
      </c>
      <c r="B500" s="234" t="str">
        <f ca="1">IF(Table1[[#This Row],[Column3]]="","",B$1+COUNT(INDIRECT("B$2:B"&amp;ROW()-1)))</f>
        <v/>
      </c>
      <c r="C500" s="235" t="str">
        <f>IF(Table1[[#This Row],[Column2]]="","",Table1[[#This Row],[Column2]]+C$1-1)</f>
        <v/>
      </c>
      <c r="E500" s="236"/>
      <c r="F500" s="234"/>
      <c r="G500" s="234" t="str">
        <f ca="1">IF(Table1[[#This Row],[h_No. Invoice :]]="","",CONCATENATE("AM"," ",Table1[[#This Row],[h_No. Invoice :]]))</f>
        <v/>
      </c>
      <c r="H500" s="234" t="str">
        <f>IF(Table1[[#This Row],[Column5]]="","",INDEX(Table2[Column1],MATCH(Table1[[#This Row],[Column5]],Table2[a],0)))</f>
        <v/>
      </c>
      <c r="I500" s="234" t="str">
        <f>IF(Table1[[#This Row],[Column3]]=0,"",CONCATENATE(UPPER(Table1[[#This Row],[Column3]])," ",Table1[[#This Row],[Column4]]))</f>
        <v xml:space="preserve"> </v>
      </c>
      <c r="J500" s="234" t="str">
        <f>IF(Table1[[#This Row],[Column5]]="","",INDEX(Table2[e],IF(Table1[[#This Row],[Column5]]="","",MATCH(Table1[[#This Row],[Column5]],Table2[a],0)),))</f>
        <v/>
      </c>
      <c r="K500" s="234"/>
      <c r="L500" s="234"/>
      <c r="O500" s="234" t="str">
        <f>IF(Table1[[#This Row],[h_Item Description]]="","",INDEX([1]!db[NB PAJAK],MATCH(Table1[[#This Row],[h_Item Description]],[1]!db[kode],0)))</f>
        <v/>
      </c>
      <c r="Q500" s="237"/>
      <c r="R500" s="238"/>
      <c r="S500" s="238"/>
      <c r="T500" s="237" t="str">
        <f>Table1[[#This Row],[h_hargasetelahdiskon]]</f>
        <v/>
      </c>
      <c r="V500" s="234"/>
      <c r="W500" s="234" t="str">
        <f ca="1">IF(Table1[[#This Row],[Column12]]="","",IF(Table1[[#This Row],[//]]="",INDIRECT(ADDRESS(ROW()-1,COLUMN())),Table1[[#This Row],[//]]))</f>
        <v/>
      </c>
      <c r="X500" s="234" t="str">
        <f ca="1">IF(Table1[[#This Row],[h_id]]="","",COUNTIF(Table1[h_id],Table1[[#This Row],[h_id]]))</f>
        <v/>
      </c>
      <c r="Y500" s="237" t="str">
        <f>IF(Table1[[#This Row],[Column12]]="","",Table1[[#This Row],[Qty]]*Table1[[#This Row],[Column13]])</f>
        <v/>
      </c>
      <c r="Z500" s="237" t="str">
        <f>IF(Table1[[#This Row],[h_hargasebelumdiskon]]="","",IF(Table1[[#This Row],[Column14]]="",0,Table1[[#This Row],[h_hargasebelumdiskon]]*Table1[[#This Row],[Column14]]))</f>
        <v/>
      </c>
      <c r="AA500" s="237" t="str">
        <f>IF(Table1[[#This Row],[h_hargasebelumdiskon]]="","",IF(Table1[[#This Row],[Column15]]="",0,(Table1[[#This Row],[h_hargasebelumdiskon]]-Table1[[#This Row],[h_disc 1]])*Table1[[#This Row],[Column15]]))</f>
        <v/>
      </c>
      <c r="AB500" s="237" t="str">
        <f>IF(Table1[[#This Row],[Column12]]="","",Table1[[#This Row],[h_disc 1]]+Table1[[#This Row],[h_disc 2]])</f>
        <v/>
      </c>
      <c r="AC500" s="237" t="str">
        <f>IF(Table1[[#This Row],[Column12]]="","",Table1[[#This Row],[h_hargasebelumdiskon]]-Table1[[#This Row],[h_diskon]])</f>
        <v/>
      </c>
      <c r="AD500" s="237" t="str">
        <f ca="1">IF(Table1[[#This Row],[//]]="","",SUMIF(Table1[h_id],Table1[[#This Row],[h_id]],Table1[h_hargasetelahdiskon]))</f>
        <v/>
      </c>
      <c r="AF500" s="237" t="str">
        <f>Table1[[#This Row],[Column12]]&amp;Table1[[#This Row],[Unit]]&amp;Table1[[#This Row],[Column13]]</f>
        <v/>
      </c>
      <c r="AG500"/>
      <c r="AH500"/>
      <c r="AI500"/>
    </row>
    <row r="501" spans="1:35">
      <c r="A501" s="234" t="str">
        <f ca="1">IF(Table1[[#This Row],[No. Invoice :]]="","",ROW())</f>
        <v/>
      </c>
      <c r="B501" s="234" t="str">
        <f ca="1">IF(Table1[[#This Row],[Column3]]="","",B$1+COUNT(INDIRECT("B$2:B"&amp;ROW()-1)))</f>
        <v/>
      </c>
      <c r="C501" s="235" t="str">
        <f>IF(Table1[[#This Row],[Column2]]="","",Table1[[#This Row],[Column2]]+C$1-1)</f>
        <v/>
      </c>
      <c r="E501" s="236"/>
      <c r="F501" s="234"/>
      <c r="G501" s="234" t="str">
        <f ca="1">IF(Table1[[#This Row],[h_No. Invoice :]]="","",CONCATENATE("AM"," ",Table1[[#This Row],[h_No. Invoice :]]))</f>
        <v/>
      </c>
      <c r="H501" s="234" t="str">
        <f>IF(Table1[[#This Row],[Column5]]="","",INDEX(Table2[Column1],MATCH(Table1[[#This Row],[Column5]],Table2[a],0)))</f>
        <v/>
      </c>
      <c r="I501" s="234" t="str">
        <f>IF(Table1[[#This Row],[Column3]]=0,"",CONCATENATE(UPPER(Table1[[#This Row],[Column3]])," ",Table1[[#This Row],[Column4]]))</f>
        <v xml:space="preserve"> </v>
      </c>
      <c r="J501" s="234" t="str">
        <f>IF(Table1[[#This Row],[Column5]]="","",INDEX(Table2[e],IF(Table1[[#This Row],[Column5]]="","",MATCH(Table1[[#This Row],[Column5]],Table2[a],0)),))</f>
        <v/>
      </c>
      <c r="K501" s="234"/>
      <c r="L501" s="234"/>
      <c r="O501" s="234" t="str">
        <f>IF(Table1[[#This Row],[h_Item Description]]="","",INDEX([1]!db[NB PAJAK],MATCH(Table1[[#This Row],[h_Item Description]],[1]!db[kode],0)))</f>
        <v/>
      </c>
      <c r="Q501" s="237"/>
      <c r="R501" s="238"/>
      <c r="S501" s="238"/>
      <c r="T501" s="237" t="str">
        <f>Table1[[#This Row],[h_hargasetelahdiskon]]</f>
        <v/>
      </c>
      <c r="V501" s="234"/>
      <c r="W501" s="234" t="str">
        <f ca="1">IF(Table1[[#This Row],[Column12]]="","",IF(Table1[[#This Row],[//]]="",INDIRECT(ADDRESS(ROW()-1,COLUMN())),Table1[[#This Row],[//]]))</f>
        <v/>
      </c>
      <c r="X501" s="234" t="str">
        <f ca="1">IF(Table1[[#This Row],[h_id]]="","",COUNTIF(Table1[h_id],Table1[[#This Row],[h_id]]))</f>
        <v/>
      </c>
      <c r="Y501" s="237" t="str">
        <f>IF(Table1[[#This Row],[Column12]]="","",Table1[[#This Row],[Qty]]*Table1[[#This Row],[Column13]])</f>
        <v/>
      </c>
      <c r="Z501" s="237" t="str">
        <f>IF(Table1[[#This Row],[h_hargasebelumdiskon]]="","",IF(Table1[[#This Row],[Column14]]="",0,Table1[[#This Row],[h_hargasebelumdiskon]]*Table1[[#This Row],[Column14]]))</f>
        <v/>
      </c>
      <c r="AA501" s="237" t="str">
        <f>IF(Table1[[#This Row],[h_hargasebelumdiskon]]="","",IF(Table1[[#This Row],[Column15]]="",0,(Table1[[#This Row],[h_hargasebelumdiskon]]-Table1[[#This Row],[h_disc 1]])*Table1[[#This Row],[Column15]]))</f>
        <v/>
      </c>
      <c r="AB501" s="237" t="str">
        <f>IF(Table1[[#This Row],[Column12]]="","",Table1[[#This Row],[h_disc 1]]+Table1[[#This Row],[h_disc 2]])</f>
        <v/>
      </c>
      <c r="AC501" s="237" t="str">
        <f>IF(Table1[[#This Row],[Column12]]="","",Table1[[#This Row],[h_hargasebelumdiskon]]-Table1[[#This Row],[h_diskon]])</f>
        <v/>
      </c>
      <c r="AD501" s="237" t="str">
        <f ca="1">IF(Table1[[#This Row],[//]]="","",SUMIF(Table1[h_id],Table1[[#This Row],[h_id]],Table1[h_hargasetelahdiskon]))</f>
        <v/>
      </c>
      <c r="AF501" s="237" t="str">
        <f>Table1[[#This Row],[Column12]]&amp;Table1[[#This Row],[Unit]]&amp;Table1[[#This Row],[Column13]]</f>
        <v/>
      </c>
      <c r="AG501"/>
      <c r="AH501"/>
      <c r="AI501"/>
    </row>
    <row r="502" spans="1:35">
      <c r="A502" s="234" t="str">
        <f ca="1">IF(Table1[[#This Row],[No. Invoice :]]="","",ROW())</f>
        <v/>
      </c>
      <c r="B502" s="416" t="str">
        <f ca="1">IF(Table1[[#This Row],[Column3]]="","",B$1+COUNT(INDIRECT("B$2:B"&amp;ROW()-1)))</f>
        <v/>
      </c>
      <c r="C502" s="235" t="str">
        <f>IF(Table1[[#This Row],[Column2]]="","",Table1[[#This Row],[Column2]]+C$1-1)</f>
        <v/>
      </c>
      <c r="D502" s="417"/>
      <c r="E502" s="418"/>
      <c r="F502" s="416"/>
      <c r="G502" s="234" t="str">
        <f ca="1">IF(Table1[[#This Row],[h_No. Invoice :]]="","",CONCATENATE("AM"," ",Table1[[#This Row],[h_No. Invoice :]]))</f>
        <v/>
      </c>
      <c r="H502" s="416" t="str">
        <f>IF(Table1[[#This Row],[Column5]]="","",INDEX(Table2[Column1],MATCH(Table1[[#This Row],[Column5]],Table2[a],0)))</f>
        <v/>
      </c>
      <c r="I502" s="234" t="str">
        <f>IF(Table1[[#This Row],[Column3]]=0,"",CONCATENATE(UPPER(Table1[[#This Row],[Column3]])," ",Table1[[#This Row],[Column4]]))</f>
        <v xml:space="preserve"> </v>
      </c>
      <c r="J502" s="234" t="str">
        <f>IF(Table1[[#This Row],[Column5]]="","",INDEX(Table2[e],IF(Table1[[#This Row],[Column5]]="","",MATCH(Table1[[#This Row],[Column5]],Table2[a],0)),))</f>
        <v/>
      </c>
      <c r="K502" s="234"/>
      <c r="L502" s="234"/>
      <c r="N502" s="416"/>
      <c r="O502" s="416" t="str">
        <f>IF(Table1[[#This Row],[h_Item Description]]="","",INDEX([1]!db[NB PAJAK],MATCH(Table1[[#This Row],[h_Item Description]],[1]!db[kode],0)))</f>
        <v/>
      </c>
      <c r="Q502" s="237"/>
      <c r="R502" s="238"/>
      <c r="S502" s="238"/>
      <c r="T502" s="419" t="str">
        <f>Table1[[#This Row],[h_hargasetelahdiskon]]</f>
        <v/>
      </c>
      <c r="V502" s="234"/>
      <c r="W502" s="234" t="str">
        <f ca="1">IF(Table1[[#This Row],[Column12]]="","",IF(Table1[[#This Row],[//]]="",INDIRECT(ADDRESS(ROW()-1,COLUMN())),Table1[[#This Row],[//]]))</f>
        <v/>
      </c>
      <c r="X502" s="234" t="str">
        <f ca="1">IF(Table1[[#This Row],[h_id]]="","",COUNTIF(Table1[h_id],Table1[[#This Row],[h_id]]))</f>
        <v/>
      </c>
      <c r="Y502" s="237" t="str">
        <f>IF(Table1[[#This Row],[Column12]]="","",Table1[[#This Row],[Qty]]*Table1[[#This Row],[Column13]])</f>
        <v/>
      </c>
      <c r="Z502" s="419" t="str">
        <f>IF(Table1[[#This Row],[h_hargasebelumdiskon]]="","",IF(Table1[[#This Row],[Column14]]="",0,Table1[[#This Row],[h_hargasebelumdiskon]]*Table1[[#This Row],[Column14]]))</f>
        <v/>
      </c>
      <c r="AA502" s="419" t="str">
        <f>IF(Table1[[#This Row],[h_hargasebelumdiskon]]="","",IF(Table1[[#This Row],[Column15]]="",0,(Table1[[#This Row],[h_hargasebelumdiskon]]-Table1[[#This Row],[h_disc 1]])*Table1[[#This Row],[Column15]]))</f>
        <v/>
      </c>
      <c r="AB502" s="237" t="str">
        <f>IF(Table1[[#This Row],[Column12]]="","",Table1[[#This Row],[h_disc 1]]+Table1[[#This Row],[h_disc 2]])</f>
        <v/>
      </c>
      <c r="AC502" s="237" t="str">
        <f>IF(Table1[[#This Row],[Column12]]="","",Table1[[#This Row],[h_hargasebelumdiskon]]-Table1[[#This Row],[h_diskon]])</f>
        <v/>
      </c>
      <c r="AD502" s="237" t="str">
        <f ca="1">IF(Table1[[#This Row],[//]]="","",SUMIF(Table1[h_id],Table1[[#This Row],[h_id]],Table1[h_hargasetelahdiskon]))</f>
        <v/>
      </c>
      <c r="AF502" s="237" t="str">
        <f>Table1[[#This Row],[Column12]]&amp;Table1[[#This Row],[Unit]]&amp;Table1[[#This Row],[Column13]]</f>
        <v/>
      </c>
      <c r="AG502"/>
      <c r="AH502"/>
      <c r="AI502"/>
    </row>
    <row r="503" spans="1:35">
      <c r="A503" s="234" t="str">
        <f ca="1">IF(Table1[[#This Row],[No. Invoice :]]="","",ROW())</f>
        <v/>
      </c>
      <c r="B503" s="416" t="str">
        <f ca="1">IF(Table1[[#This Row],[Column3]]="","",B$1+COUNT(INDIRECT("B$2:B"&amp;ROW()-1)))</f>
        <v/>
      </c>
      <c r="C503" s="235" t="str">
        <f>IF(Table1[[#This Row],[Column2]]="","",Table1[[#This Row],[Column2]]+C$1-1)</f>
        <v/>
      </c>
      <c r="D503" s="417"/>
      <c r="E503" s="418"/>
      <c r="F503" s="416"/>
      <c r="G503" s="234" t="str">
        <f ca="1">IF(Table1[[#This Row],[h_No. Invoice :]]="","",CONCATENATE("AM"," ",Table1[[#This Row],[h_No. Invoice :]]))</f>
        <v/>
      </c>
      <c r="H503" s="416" t="str">
        <f>IF(Table1[[#This Row],[Column5]]="","",INDEX(Table2[Column1],MATCH(Table1[[#This Row],[Column5]],Table2[a],0)))</f>
        <v/>
      </c>
      <c r="I503" s="234" t="str">
        <f>IF(Table1[[#This Row],[Column3]]=0,"",CONCATENATE(UPPER(Table1[[#This Row],[Column3]])," ",Table1[[#This Row],[Column4]]))</f>
        <v xml:space="preserve"> </v>
      </c>
      <c r="J503" s="234" t="str">
        <f>IF(Table1[[#This Row],[Column5]]="","",INDEX(Table2[e],IF(Table1[[#This Row],[Column5]]="","",MATCH(Table1[[#This Row],[Column5]],Table2[a],0)),))</f>
        <v/>
      </c>
      <c r="K503" s="234"/>
      <c r="L503" s="234"/>
      <c r="N503" s="416"/>
      <c r="O503" s="416" t="str">
        <f>IF(Table1[[#This Row],[h_Item Description]]="","",INDEX([1]!db[NB PAJAK],MATCH(Table1[[#This Row],[h_Item Description]],[1]!db[kode],0)))</f>
        <v/>
      </c>
      <c r="Q503" s="237"/>
      <c r="R503" s="238"/>
      <c r="S503" s="238"/>
      <c r="T503" s="419" t="str">
        <f>Table1[[#This Row],[h_hargasetelahdiskon]]</f>
        <v/>
      </c>
      <c r="V503" s="234"/>
      <c r="W503" s="234" t="str">
        <f ca="1">IF(Table1[[#This Row],[Column12]]="","",IF(Table1[[#This Row],[//]]="",INDIRECT(ADDRESS(ROW()-1,COLUMN())),Table1[[#This Row],[//]]))</f>
        <v/>
      </c>
      <c r="X503" s="234" t="str">
        <f ca="1">IF(Table1[[#This Row],[h_id]]="","",COUNTIF(Table1[h_id],Table1[[#This Row],[h_id]]))</f>
        <v/>
      </c>
      <c r="Y503" s="237" t="str">
        <f>IF(Table1[[#This Row],[Column12]]="","",Table1[[#This Row],[Qty]]*Table1[[#This Row],[Column13]])</f>
        <v/>
      </c>
      <c r="Z503" s="419" t="str">
        <f>IF(Table1[[#This Row],[h_hargasebelumdiskon]]="","",IF(Table1[[#This Row],[Column14]]="",0,Table1[[#This Row],[h_hargasebelumdiskon]]*Table1[[#This Row],[Column14]]))</f>
        <v/>
      </c>
      <c r="AA503" s="419" t="str">
        <f>IF(Table1[[#This Row],[h_hargasebelumdiskon]]="","",IF(Table1[[#This Row],[Column15]]="",0,(Table1[[#This Row],[h_hargasebelumdiskon]]-Table1[[#This Row],[h_disc 1]])*Table1[[#This Row],[Column15]]))</f>
        <v/>
      </c>
      <c r="AB503" s="237" t="str">
        <f>IF(Table1[[#This Row],[Column12]]="","",Table1[[#This Row],[h_disc 1]]+Table1[[#This Row],[h_disc 2]])</f>
        <v/>
      </c>
      <c r="AC503" s="237" t="str">
        <f>IF(Table1[[#This Row],[Column12]]="","",Table1[[#This Row],[h_hargasebelumdiskon]]-Table1[[#This Row],[h_diskon]])</f>
        <v/>
      </c>
      <c r="AD503" s="237" t="str">
        <f ca="1">IF(Table1[[#This Row],[//]]="","",SUMIF(Table1[h_id],Table1[[#This Row],[h_id]],Table1[h_hargasetelahdiskon]))</f>
        <v/>
      </c>
      <c r="AF503" s="237" t="str">
        <f>Table1[[#This Row],[Column12]]&amp;Table1[[#This Row],[Unit]]&amp;Table1[[#This Row],[Column13]]</f>
        <v/>
      </c>
      <c r="AG503"/>
      <c r="AH503"/>
      <c r="AI503"/>
    </row>
    <row r="504" spans="1:35">
      <c r="A504" s="234" t="str">
        <f ca="1">IF(Table1[[#This Row],[No. Invoice :]]="","",ROW())</f>
        <v/>
      </c>
      <c r="B504" s="234" t="str">
        <f ca="1">IF(Table1[[#This Row],[Column3]]="","",B$1+COUNT(INDIRECT("B$2:B"&amp;ROW()-1)))</f>
        <v/>
      </c>
      <c r="C504" s="235" t="str">
        <f>IF(Table1[[#This Row],[Column2]]="","",Table1[[#This Row],[Column2]]+C$1-1)</f>
        <v/>
      </c>
      <c r="E504" s="236"/>
      <c r="F504" s="234"/>
      <c r="G504" s="234" t="str">
        <f ca="1">IF(Table1[[#This Row],[h_No. Invoice :]]="","",CONCATENATE("AM"," ",Table1[[#This Row],[h_No. Invoice :]]))</f>
        <v/>
      </c>
      <c r="H504" s="234" t="str">
        <f>IF(Table1[[#This Row],[Column5]]="","",INDEX(Table2[Column1],MATCH(Table1[[#This Row],[Column5]],Table2[a],0)))</f>
        <v/>
      </c>
      <c r="I504" s="234" t="str">
        <f>IF(Table1[[#This Row],[Column3]]=0,"",CONCATENATE(UPPER(Table1[[#This Row],[Column3]])," ",Table1[[#This Row],[Column4]]))</f>
        <v xml:space="preserve"> </v>
      </c>
      <c r="J504" s="234" t="str">
        <f>IF(Table1[[#This Row],[Column5]]="","",INDEX(Table2[e],IF(Table1[[#This Row],[Column5]]="","",MATCH(Table1[[#This Row],[Column5]],Table2[a],0)),))</f>
        <v/>
      </c>
      <c r="K504" s="234"/>
      <c r="L504" s="234"/>
      <c r="O504" s="234" t="str">
        <f>IF(Table1[[#This Row],[h_Item Description]]="","",INDEX([1]!db[NB PAJAK],MATCH(Table1[[#This Row],[h_Item Description]],[1]!db[kode],0)))</f>
        <v/>
      </c>
      <c r="Q504" s="237"/>
      <c r="R504" s="238"/>
      <c r="S504" s="238"/>
      <c r="T504" s="237" t="str">
        <f>Table1[[#This Row],[h_hargasetelahdiskon]]</f>
        <v/>
      </c>
      <c r="V504" s="234"/>
      <c r="W504" s="234" t="str">
        <f ca="1">IF(Table1[[#This Row],[Column12]]="","",IF(Table1[[#This Row],[//]]="",INDIRECT(ADDRESS(ROW()-1,COLUMN())),Table1[[#This Row],[//]]))</f>
        <v/>
      </c>
      <c r="X504" s="234" t="str">
        <f ca="1">IF(Table1[[#This Row],[h_id]]="","",COUNTIF(Table1[h_id],Table1[[#This Row],[h_id]]))</f>
        <v/>
      </c>
      <c r="Y504" s="237" t="str">
        <f>IF(Table1[[#This Row],[Column12]]="","",Table1[[#This Row],[Qty]]*Table1[[#This Row],[Column13]])</f>
        <v/>
      </c>
      <c r="Z504" s="237" t="str">
        <f>IF(Table1[[#This Row],[h_hargasebelumdiskon]]="","",IF(Table1[[#This Row],[Column14]]="",0,Table1[[#This Row],[h_hargasebelumdiskon]]*Table1[[#This Row],[Column14]]))</f>
        <v/>
      </c>
      <c r="AA504" s="237" t="str">
        <f>IF(Table1[[#This Row],[h_hargasebelumdiskon]]="","",IF(Table1[[#This Row],[Column15]]="",0,(Table1[[#This Row],[h_hargasebelumdiskon]]-Table1[[#This Row],[h_disc 1]])*Table1[[#This Row],[Column15]]))</f>
        <v/>
      </c>
      <c r="AB504" s="237" t="str">
        <f>IF(Table1[[#This Row],[Column12]]="","",Table1[[#This Row],[h_disc 1]]+Table1[[#This Row],[h_disc 2]])</f>
        <v/>
      </c>
      <c r="AC504" s="237" t="str">
        <f>IF(Table1[[#This Row],[Column12]]="","",Table1[[#This Row],[h_hargasebelumdiskon]]-Table1[[#This Row],[h_diskon]])</f>
        <v/>
      </c>
      <c r="AD504" s="237" t="str">
        <f ca="1">IF(Table1[[#This Row],[//]]="","",SUMIF(Table1[h_id],Table1[[#This Row],[h_id]],Table1[h_hargasetelahdiskon]))</f>
        <v/>
      </c>
      <c r="AF504" s="237" t="str">
        <f>Table1[[#This Row],[Column12]]&amp;Table1[[#This Row],[Unit]]&amp;Table1[[#This Row],[Column13]]</f>
        <v/>
      </c>
      <c r="AG504"/>
      <c r="AH504"/>
      <c r="AI504"/>
    </row>
    <row r="505" spans="1:35">
      <c r="A505" s="234" t="str">
        <f ca="1">IF(Table1[[#This Row],[No. Invoice :]]="","",ROW())</f>
        <v/>
      </c>
      <c r="B505" s="234" t="str">
        <f ca="1">IF(Table1[[#This Row],[Column3]]="","",B$1+COUNT(INDIRECT("B$2:B"&amp;ROW()-1)))</f>
        <v/>
      </c>
      <c r="C505" s="235" t="str">
        <f>IF(Table1[[#This Row],[Column2]]="","",Table1[[#This Row],[Column2]]+C$1-1)</f>
        <v/>
      </c>
      <c r="E505" s="236"/>
      <c r="F505" s="234"/>
      <c r="G505" s="234" t="str">
        <f ca="1">IF(Table1[[#This Row],[h_No. Invoice :]]="","",CONCATENATE("AM"," ",Table1[[#This Row],[h_No. Invoice :]]))</f>
        <v/>
      </c>
      <c r="H505" s="234" t="str">
        <f>IF(Table1[[#This Row],[Column5]]="","",INDEX(Table2[Column1],MATCH(Table1[[#This Row],[Column5]],Table2[a],0)))</f>
        <v/>
      </c>
      <c r="I505" s="234" t="str">
        <f>IF(Table1[[#This Row],[Column3]]=0,"",CONCATENATE(UPPER(Table1[[#This Row],[Column3]])," ",Table1[[#This Row],[Column4]]))</f>
        <v xml:space="preserve"> </v>
      </c>
      <c r="J505" s="234" t="str">
        <f>IF(Table1[[#This Row],[Column5]]="","",INDEX(Table2[e],IF(Table1[[#This Row],[Column5]]="","",MATCH(Table1[[#This Row],[Column5]],Table2[a],0)),))</f>
        <v/>
      </c>
      <c r="K505" s="234"/>
      <c r="L505" s="234"/>
      <c r="O505" s="234" t="str">
        <f>IF(Table1[[#This Row],[h_Item Description]]="","",INDEX([1]!db[NB PAJAK],MATCH(Table1[[#This Row],[h_Item Description]],[1]!db[kode],0)))</f>
        <v/>
      </c>
      <c r="Q505" s="237"/>
      <c r="R505" s="238"/>
      <c r="S505" s="238"/>
      <c r="T505" s="237" t="str">
        <f>Table1[[#This Row],[h_hargasetelahdiskon]]</f>
        <v/>
      </c>
      <c r="V505" s="234"/>
      <c r="W505" s="234" t="str">
        <f ca="1">IF(Table1[[#This Row],[Column12]]="","",IF(Table1[[#This Row],[//]]="",INDIRECT(ADDRESS(ROW()-1,COLUMN())),Table1[[#This Row],[//]]))</f>
        <v/>
      </c>
      <c r="X505" s="234" t="str">
        <f ca="1">IF(Table1[[#This Row],[h_id]]="","",COUNTIF(Table1[h_id],Table1[[#This Row],[h_id]]))</f>
        <v/>
      </c>
      <c r="Y505" s="237" t="str">
        <f>IF(Table1[[#This Row],[Column12]]="","",Table1[[#This Row],[Qty]]*Table1[[#This Row],[Column13]])</f>
        <v/>
      </c>
      <c r="Z505" s="237" t="str">
        <f>IF(Table1[[#This Row],[h_hargasebelumdiskon]]="","",IF(Table1[[#This Row],[Column14]]="",0,Table1[[#This Row],[h_hargasebelumdiskon]]*Table1[[#This Row],[Column14]]))</f>
        <v/>
      </c>
      <c r="AA505" s="237" t="str">
        <f>IF(Table1[[#This Row],[h_hargasebelumdiskon]]="","",IF(Table1[[#This Row],[Column15]]="",0,(Table1[[#This Row],[h_hargasebelumdiskon]]-Table1[[#This Row],[h_disc 1]])*Table1[[#This Row],[Column15]]))</f>
        <v/>
      </c>
      <c r="AB505" s="237" t="str">
        <f>IF(Table1[[#This Row],[Column12]]="","",Table1[[#This Row],[h_disc 1]]+Table1[[#This Row],[h_disc 2]])</f>
        <v/>
      </c>
      <c r="AC505" s="237" t="str">
        <f>IF(Table1[[#This Row],[Column12]]="","",Table1[[#This Row],[h_hargasebelumdiskon]]-Table1[[#This Row],[h_diskon]])</f>
        <v/>
      </c>
      <c r="AD505" s="237" t="str">
        <f ca="1">IF(Table1[[#This Row],[//]]="","",SUMIF(Table1[h_id],Table1[[#This Row],[h_id]],Table1[h_hargasetelahdiskon]))</f>
        <v/>
      </c>
      <c r="AF505" s="237" t="str">
        <f>Table1[[#This Row],[Column12]]&amp;Table1[[#This Row],[Unit]]&amp;Table1[[#This Row],[Column13]]</f>
        <v/>
      </c>
      <c r="AG505"/>
      <c r="AH505"/>
      <c r="AI505"/>
    </row>
    <row r="506" spans="1:35">
      <c r="A506" s="234" t="str">
        <f ca="1">IF(Table1[[#This Row],[No. Invoice :]]="","",ROW())</f>
        <v/>
      </c>
      <c r="B506" s="416" t="str">
        <f ca="1">IF(Table1[[#This Row],[Column3]]="","",B$1+COUNT(INDIRECT("B$2:B"&amp;ROW()-1)))</f>
        <v/>
      </c>
      <c r="C506" s="235" t="str">
        <f>IF(Table1[[#This Row],[Column2]]="","",Table1[[#This Row],[Column2]]+C$1-1)</f>
        <v/>
      </c>
      <c r="D506" s="417"/>
      <c r="E506" s="418"/>
      <c r="F506" s="416"/>
      <c r="G506" s="234" t="str">
        <f ca="1">IF(Table1[[#This Row],[h_No. Invoice :]]="","",CONCATENATE("AM"," ",Table1[[#This Row],[h_No. Invoice :]]))</f>
        <v/>
      </c>
      <c r="H506" s="416" t="str">
        <f>IF(Table1[[#This Row],[Column5]]="","",INDEX(Table2[Column1],MATCH(Table1[[#This Row],[Column5]],Table2[a],0)))</f>
        <v/>
      </c>
      <c r="I506" s="234" t="str">
        <f>IF(Table1[[#This Row],[Column3]]=0,"",CONCATENATE(UPPER(Table1[[#This Row],[Column3]])," ",Table1[[#This Row],[Column4]]))</f>
        <v xml:space="preserve"> </v>
      </c>
      <c r="J506" s="234" t="str">
        <f>IF(Table1[[#This Row],[Column5]]="","",INDEX(Table2[e],IF(Table1[[#This Row],[Column5]]="","",MATCH(Table1[[#This Row],[Column5]],Table2[a],0)),))</f>
        <v/>
      </c>
      <c r="K506" s="234"/>
      <c r="L506" s="234"/>
      <c r="N506" s="416"/>
      <c r="O506" s="416" t="str">
        <f>IF(Table1[[#This Row],[h_Item Description]]="","",INDEX([1]!db[NB PAJAK],MATCH(Table1[[#This Row],[h_Item Description]],[1]!db[kode],0)))</f>
        <v/>
      </c>
      <c r="Q506" s="237"/>
      <c r="R506" s="238"/>
      <c r="S506" s="238"/>
      <c r="T506" s="419" t="str">
        <f>Table1[[#This Row],[h_hargasetelahdiskon]]</f>
        <v/>
      </c>
      <c r="V506" s="234"/>
      <c r="W506" s="234" t="str">
        <f ca="1">IF(Table1[[#This Row],[Column12]]="","",IF(Table1[[#This Row],[//]]="",INDIRECT(ADDRESS(ROW()-1,COLUMN())),Table1[[#This Row],[//]]))</f>
        <v/>
      </c>
      <c r="X506" s="234" t="str">
        <f ca="1">IF(Table1[[#This Row],[h_id]]="","",COUNTIF(Table1[h_id],Table1[[#This Row],[h_id]]))</f>
        <v/>
      </c>
      <c r="Y506" s="237" t="str">
        <f>IF(Table1[[#This Row],[Column12]]="","",Table1[[#This Row],[Qty]]*Table1[[#This Row],[Column13]])</f>
        <v/>
      </c>
      <c r="Z506" s="419" t="str">
        <f>IF(Table1[[#This Row],[h_hargasebelumdiskon]]="","",IF(Table1[[#This Row],[Column14]]="",0,Table1[[#This Row],[h_hargasebelumdiskon]]*Table1[[#This Row],[Column14]]))</f>
        <v/>
      </c>
      <c r="AA506" s="419" t="str">
        <f>IF(Table1[[#This Row],[h_hargasebelumdiskon]]="","",IF(Table1[[#This Row],[Column15]]="",0,(Table1[[#This Row],[h_hargasebelumdiskon]]-Table1[[#This Row],[h_disc 1]])*Table1[[#This Row],[Column15]]))</f>
        <v/>
      </c>
      <c r="AB506" s="237" t="str">
        <f>IF(Table1[[#This Row],[Column12]]="","",Table1[[#This Row],[h_disc 1]]+Table1[[#This Row],[h_disc 2]])</f>
        <v/>
      </c>
      <c r="AC506" s="237" t="str">
        <f>IF(Table1[[#This Row],[Column12]]="","",Table1[[#This Row],[h_hargasebelumdiskon]]-Table1[[#This Row],[h_diskon]])</f>
        <v/>
      </c>
      <c r="AD506" s="237" t="str">
        <f ca="1">IF(Table1[[#This Row],[//]]="","",SUMIF(Table1[h_id],Table1[[#This Row],[h_id]],Table1[h_hargasetelahdiskon]))</f>
        <v/>
      </c>
      <c r="AF506" s="237" t="str">
        <f>Table1[[#This Row],[Column12]]&amp;Table1[[#This Row],[Unit]]&amp;Table1[[#This Row],[Column13]]</f>
        <v/>
      </c>
      <c r="AG506"/>
      <c r="AH506"/>
      <c r="AI506"/>
    </row>
    <row r="507" spans="1:35">
      <c r="A507" s="234" t="str">
        <f ca="1">IF(Table1[[#This Row],[No. Invoice :]]="","",ROW())</f>
        <v/>
      </c>
      <c r="B507" s="416" t="str">
        <f ca="1">IF(Table1[[#This Row],[Column3]]="","",B$1+COUNT(INDIRECT("B$2:B"&amp;ROW()-1)))</f>
        <v/>
      </c>
      <c r="C507" s="235" t="str">
        <f>IF(Table1[[#This Row],[Column2]]="","",Table1[[#This Row],[Column2]]+C$1-1)</f>
        <v/>
      </c>
      <c r="D507" s="417"/>
      <c r="E507" s="418"/>
      <c r="F507" s="416"/>
      <c r="G507" s="234" t="str">
        <f ca="1">IF(Table1[[#This Row],[h_No. Invoice :]]="","",CONCATENATE("AM"," ",Table1[[#This Row],[h_No. Invoice :]]))</f>
        <v/>
      </c>
      <c r="H507" s="416" t="str">
        <f>IF(Table1[[#This Row],[Column5]]="","",INDEX(Table2[Column1],MATCH(Table1[[#This Row],[Column5]],Table2[a],0)))</f>
        <v/>
      </c>
      <c r="I507" s="234" t="str">
        <f>IF(Table1[[#This Row],[Column3]]=0,"",CONCATENATE(UPPER(Table1[[#This Row],[Column3]])," ",Table1[[#This Row],[Column4]]))</f>
        <v xml:space="preserve"> </v>
      </c>
      <c r="J507" s="234" t="str">
        <f>IF(Table1[[#This Row],[Column5]]="","",INDEX(Table2[e],IF(Table1[[#This Row],[Column5]]="","",MATCH(Table1[[#This Row],[Column5]],Table2[a],0)),))</f>
        <v/>
      </c>
      <c r="K507" s="234"/>
      <c r="L507" s="234"/>
      <c r="N507" s="416"/>
      <c r="O507" s="416" t="str">
        <f>IF(Table1[[#This Row],[h_Item Description]]="","",INDEX([1]!db[NB PAJAK],MATCH(Table1[[#This Row],[h_Item Description]],[1]!db[kode],0)))</f>
        <v/>
      </c>
      <c r="Q507" s="237"/>
      <c r="R507" s="238"/>
      <c r="S507" s="238"/>
      <c r="T507" s="419" t="str">
        <f>Table1[[#This Row],[h_hargasetelahdiskon]]</f>
        <v/>
      </c>
      <c r="V507" s="234"/>
      <c r="W507" s="234" t="str">
        <f ca="1">IF(Table1[[#This Row],[Column12]]="","",IF(Table1[[#This Row],[//]]="",INDIRECT(ADDRESS(ROW()-1,COLUMN())),Table1[[#This Row],[//]]))</f>
        <v/>
      </c>
      <c r="X507" s="234" t="str">
        <f ca="1">IF(Table1[[#This Row],[h_id]]="","",COUNTIF(Table1[h_id],Table1[[#This Row],[h_id]]))</f>
        <v/>
      </c>
      <c r="Y507" s="237" t="str">
        <f>IF(Table1[[#This Row],[Column12]]="","",Table1[[#This Row],[Qty]]*Table1[[#This Row],[Column13]])</f>
        <v/>
      </c>
      <c r="Z507" s="419" t="str">
        <f>IF(Table1[[#This Row],[h_hargasebelumdiskon]]="","",IF(Table1[[#This Row],[Column14]]="",0,Table1[[#This Row],[h_hargasebelumdiskon]]*Table1[[#This Row],[Column14]]))</f>
        <v/>
      </c>
      <c r="AA507" s="419" t="str">
        <f>IF(Table1[[#This Row],[h_hargasebelumdiskon]]="","",IF(Table1[[#This Row],[Column15]]="",0,(Table1[[#This Row],[h_hargasebelumdiskon]]-Table1[[#This Row],[h_disc 1]])*Table1[[#This Row],[Column15]]))</f>
        <v/>
      </c>
      <c r="AB507" s="237" t="str">
        <f>IF(Table1[[#This Row],[Column12]]="","",Table1[[#This Row],[h_disc 1]]+Table1[[#This Row],[h_disc 2]])</f>
        <v/>
      </c>
      <c r="AC507" s="237" t="str">
        <f>IF(Table1[[#This Row],[Column12]]="","",Table1[[#This Row],[h_hargasebelumdiskon]]-Table1[[#This Row],[h_diskon]])</f>
        <v/>
      </c>
      <c r="AD507" s="237" t="str">
        <f ca="1">IF(Table1[[#This Row],[//]]="","",SUMIF(Table1[h_id],Table1[[#This Row],[h_id]],Table1[h_hargasetelahdiskon]))</f>
        <v/>
      </c>
      <c r="AF507" s="237" t="str">
        <f>Table1[[#This Row],[Column12]]&amp;Table1[[#This Row],[Unit]]&amp;Table1[[#This Row],[Column13]]</f>
        <v/>
      </c>
      <c r="AG507"/>
      <c r="AH507"/>
      <c r="AI507"/>
    </row>
    <row r="508" spans="1:35">
      <c r="A508" s="234" t="str">
        <f ca="1">IF(Table1[[#This Row],[No. Invoice :]]="","",ROW())</f>
        <v/>
      </c>
      <c r="B508" s="416" t="str">
        <f ca="1">IF(Table1[[#This Row],[Column3]]="","",B$1+COUNT(INDIRECT("B$2:B"&amp;ROW()-1)))</f>
        <v/>
      </c>
      <c r="C508" s="235" t="str">
        <f>IF(Table1[[#This Row],[Column2]]="","",Table1[[#This Row],[Column2]]+C$1-1)</f>
        <v/>
      </c>
      <c r="D508" s="417"/>
      <c r="E508" s="418"/>
      <c r="F508" s="416"/>
      <c r="G508" s="234" t="str">
        <f ca="1">IF(Table1[[#This Row],[h_No. Invoice :]]="","",CONCATENATE("AM"," ",Table1[[#This Row],[h_No. Invoice :]]))</f>
        <v/>
      </c>
      <c r="H508" s="416" t="str">
        <f>IF(Table1[[#This Row],[Column5]]="","",INDEX(Table2[Column1],MATCH(Table1[[#This Row],[Column5]],Table2[a],0)))</f>
        <v/>
      </c>
      <c r="I508" s="234" t="str">
        <f>IF(Table1[[#This Row],[Column3]]=0,"",CONCATENATE(UPPER(Table1[[#This Row],[Column3]])," ",Table1[[#This Row],[Column4]]))</f>
        <v xml:space="preserve"> </v>
      </c>
      <c r="J508" s="234" t="str">
        <f>IF(Table1[[#This Row],[Column5]]="","",INDEX(Table2[e],IF(Table1[[#This Row],[Column5]]="","",MATCH(Table1[[#This Row],[Column5]],Table2[a],0)),))</f>
        <v/>
      </c>
      <c r="K508" s="234"/>
      <c r="L508" s="234"/>
      <c r="N508" s="416"/>
      <c r="O508" s="416" t="str">
        <f>IF(Table1[[#This Row],[h_Item Description]]="","",INDEX([1]!db[NB PAJAK],MATCH(Table1[[#This Row],[h_Item Description]],[1]!db[kode],0)))</f>
        <v/>
      </c>
      <c r="Q508" s="237"/>
      <c r="R508" s="238"/>
      <c r="S508" s="238"/>
      <c r="T508" s="419" t="str">
        <f>Table1[[#This Row],[h_hargasetelahdiskon]]</f>
        <v/>
      </c>
      <c r="V508" s="234"/>
      <c r="W508" s="234" t="str">
        <f ca="1">IF(Table1[[#This Row],[Column12]]="","",IF(Table1[[#This Row],[//]]="",INDIRECT(ADDRESS(ROW()-1,COLUMN())),Table1[[#This Row],[//]]))</f>
        <v/>
      </c>
      <c r="X508" s="234" t="str">
        <f ca="1">IF(Table1[[#This Row],[h_id]]="","",COUNTIF(Table1[h_id],Table1[[#This Row],[h_id]]))</f>
        <v/>
      </c>
      <c r="Y508" s="237" t="str">
        <f>IF(Table1[[#This Row],[Column12]]="","",Table1[[#This Row],[Qty]]*Table1[[#This Row],[Column13]])</f>
        <v/>
      </c>
      <c r="Z508" s="419" t="str">
        <f>IF(Table1[[#This Row],[h_hargasebelumdiskon]]="","",IF(Table1[[#This Row],[Column14]]="",0,Table1[[#This Row],[h_hargasebelumdiskon]]*Table1[[#This Row],[Column14]]))</f>
        <v/>
      </c>
      <c r="AA508" s="419" t="str">
        <f>IF(Table1[[#This Row],[h_hargasebelumdiskon]]="","",IF(Table1[[#This Row],[Column15]]="",0,(Table1[[#This Row],[h_hargasebelumdiskon]]-Table1[[#This Row],[h_disc 1]])*Table1[[#This Row],[Column15]]))</f>
        <v/>
      </c>
      <c r="AB508" s="237" t="str">
        <f>IF(Table1[[#This Row],[Column12]]="","",Table1[[#This Row],[h_disc 1]]+Table1[[#This Row],[h_disc 2]])</f>
        <v/>
      </c>
      <c r="AC508" s="237" t="str">
        <f>IF(Table1[[#This Row],[Column12]]="","",Table1[[#This Row],[h_hargasebelumdiskon]]-Table1[[#This Row],[h_diskon]])</f>
        <v/>
      </c>
      <c r="AD508" s="237" t="str">
        <f ca="1">IF(Table1[[#This Row],[//]]="","",SUMIF(Table1[h_id],Table1[[#This Row],[h_id]],Table1[h_hargasetelahdiskon]))</f>
        <v/>
      </c>
      <c r="AF508" s="237" t="str">
        <f>Table1[[#This Row],[Column12]]&amp;Table1[[#This Row],[Unit]]&amp;Table1[[#This Row],[Column13]]</f>
        <v/>
      </c>
      <c r="AG508"/>
      <c r="AH508"/>
      <c r="AI508"/>
    </row>
    <row r="509" spans="1:35">
      <c r="A509" s="234" t="str">
        <f ca="1">IF(Table1[[#This Row],[No. Invoice :]]="","",ROW())</f>
        <v/>
      </c>
      <c r="B509" s="416" t="str">
        <f ca="1">IF(Table1[[#This Row],[Column3]]="","",B$1+COUNT(INDIRECT("B$2:B"&amp;ROW()-1)))</f>
        <v/>
      </c>
      <c r="C509" s="235" t="str">
        <f>IF(Table1[[#This Row],[Column2]]="","",Table1[[#This Row],[Column2]]+C$1-1)</f>
        <v/>
      </c>
      <c r="D509" s="417"/>
      <c r="E509" s="418"/>
      <c r="F509" s="416"/>
      <c r="G509" s="234" t="str">
        <f ca="1">IF(Table1[[#This Row],[h_No. Invoice :]]="","",CONCATENATE("AM"," ",Table1[[#This Row],[h_No. Invoice :]]))</f>
        <v/>
      </c>
      <c r="H509" s="416" t="str">
        <f>IF(Table1[[#This Row],[Column5]]="","",INDEX(Table2[Column1],MATCH(Table1[[#This Row],[Column5]],Table2[a],0)))</f>
        <v/>
      </c>
      <c r="I509" s="234" t="str">
        <f>IF(Table1[[#This Row],[Column3]]=0,"",CONCATENATE(UPPER(Table1[[#This Row],[Column3]])," ",Table1[[#This Row],[Column4]]))</f>
        <v xml:space="preserve"> </v>
      </c>
      <c r="J509" s="234" t="str">
        <f>IF(Table1[[#This Row],[Column5]]="","",INDEX(Table2[e],IF(Table1[[#This Row],[Column5]]="","",MATCH(Table1[[#This Row],[Column5]],Table2[a],0)),))</f>
        <v/>
      </c>
      <c r="K509" s="234"/>
      <c r="L509" s="234"/>
      <c r="N509" s="416"/>
      <c r="O509" s="416" t="str">
        <f>IF(Table1[[#This Row],[h_Item Description]]="","",INDEX([1]!db[NB PAJAK],MATCH(Table1[[#This Row],[h_Item Description]],[1]!db[kode],0)))</f>
        <v/>
      </c>
      <c r="Q509" s="237"/>
      <c r="R509" s="238"/>
      <c r="S509" s="238"/>
      <c r="T509" s="419" t="str">
        <f>Table1[[#This Row],[h_hargasetelahdiskon]]</f>
        <v/>
      </c>
      <c r="V509" s="234"/>
      <c r="W509" s="234" t="str">
        <f ca="1">IF(Table1[[#This Row],[Column12]]="","",IF(Table1[[#This Row],[//]]="",INDIRECT(ADDRESS(ROW()-1,COLUMN())),Table1[[#This Row],[//]]))</f>
        <v/>
      </c>
      <c r="X509" s="234" t="str">
        <f ca="1">IF(Table1[[#This Row],[h_id]]="","",COUNTIF(Table1[h_id],Table1[[#This Row],[h_id]]))</f>
        <v/>
      </c>
      <c r="Y509" s="237" t="str">
        <f>IF(Table1[[#This Row],[Column12]]="","",Table1[[#This Row],[Qty]]*Table1[[#This Row],[Column13]])</f>
        <v/>
      </c>
      <c r="Z509" s="419" t="str">
        <f>IF(Table1[[#This Row],[h_hargasebelumdiskon]]="","",IF(Table1[[#This Row],[Column14]]="",0,Table1[[#This Row],[h_hargasebelumdiskon]]*Table1[[#This Row],[Column14]]))</f>
        <v/>
      </c>
      <c r="AA509" s="419" t="str">
        <f>IF(Table1[[#This Row],[h_hargasebelumdiskon]]="","",IF(Table1[[#This Row],[Column15]]="",0,(Table1[[#This Row],[h_hargasebelumdiskon]]-Table1[[#This Row],[h_disc 1]])*Table1[[#This Row],[Column15]]))</f>
        <v/>
      </c>
      <c r="AB509" s="237" t="str">
        <f>IF(Table1[[#This Row],[Column12]]="","",Table1[[#This Row],[h_disc 1]]+Table1[[#This Row],[h_disc 2]])</f>
        <v/>
      </c>
      <c r="AC509" s="237" t="str">
        <f>IF(Table1[[#This Row],[Column12]]="","",Table1[[#This Row],[h_hargasebelumdiskon]]-Table1[[#This Row],[h_diskon]])</f>
        <v/>
      </c>
      <c r="AD509" s="237" t="str">
        <f ca="1">IF(Table1[[#This Row],[//]]="","",SUMIF(Table1[h_id],Table1[[#This Row],[h_id]],Table1[h_hargasetelahdiskon]))</f>
        <v/>
      </c>
      <c r="AF509" s="237" t="str">
        <f>Table1[[#This Row],[Column12]]&amp;Table1[[#This Row],[Unit]]&amp;Table1[[#This Row],[Column13]]</f>
        <v/>
      </c>
      <c r="AG509"/>
      <c r="AH509"/>
      <c r="AI509"/>
    </row>
    <row r="510" spans="1:35">
      <c r="A510" s="234" t="str">
        <f ca="1">IF(Table1[[#This Row],[No. Invoice :]]="","",ROW())</f>
        <v/>
      </c>
      <c r="B510" s="234" t="str">
        <f ca="1">IF(Table1[[#This Row],[Column3]]="","",B$1+COUNT(INDIRECT("B$2:B"&amp;ROW()-1)))</f>
        <v/>
      </c>
      <c r="C510" s="235" t="str">
        <f>IF(Table1[[#This Row],[Column2]]="","",Table1[[#This Row],[Column2]]+C$1-1)</f>
        <v/>
      </c>
      <c r="E510" s="236"/>
      <c r="F510" s="234"/>
      <c r="G510" s="234" t="str">
        <f ca="1">IF(Table1[[#This Row],[h_No. Invoice :]]="","",CONCATENATE("AM"," ",Table1[[#This Row],[h_No. Invoice :]]))</f>
        <v/>
      </c>
      <c r="H510" s="234" t="str">
        <f>IF(Table1[[#This Row],[Column5]]="","",INDEX(Table2[Column1],MATCH(Table1[[#This Row],[Column5]],Table2[a],0)))</f>
        <v/>
      </c>
      <c r="I510" s="234" t="str">
        <f>IF(Table1[[#This Row],[Column3]]=0,"",CONCATENATE(UPPER(Table1[[#This Row],[Column3]])," ",Table1[[#This Row],[Column4]]))</f>
        <v xml:space="preserve"> </v>
      </c>
      <c r="J510" s="234" t="str">
        <f>IF(Table1[[#This Row],[Column5]]="","",INDEX(Table2[e],IF(Table1[[#This Row],[Column5]]="","",MATCH(Table1[[#This Row],[Column5]],Table2[a],0)),))</f>
        <v/>
      </c>
      <c r="K510" s="234"/>
      <c r="L510" s="234"/>
      <c r="O510" s="234" t="str">
        <f>IF(Table1[[#This Row],[h_Item Description]]="","",INDEX([1]!db[NB PAJAK],MATCH(Table1[[#This Row],[h_Item Description]],[1]!db[kode],0)))</f>
        <v/>
      </c>
      <c r="Q510" s="237"/>
      <c r="R510" s="238"/>
      <c r="S510" s="238"/>
      <c r="T510" s="237" t="str">
        <f>Table1[[#This Row],[h_hargasetelahdiskon]]</f>
        <v/>
      </c>
      <c r="V510" s="234"/>
      <c r="W510" s="234" t="str">
        <f ca="1">IF(Table1[[#This Row],[Column12]]="","",IF(Table1[[#This Row],[//]]="",INDIRECT(ADDRESS(ROW()-1,COLUMN())),Table1[[#This Row],[//]]))</f>
        <v/>
      </c>
      <c r="X510" s="234" t="str">
        <f ca="1">IF(Table1[[#This Row],[h_id]]="","",COUNTIF(Table1[h_id],Table1[[#This Row],[h_id]]))</f>
        <v/>
      </c>
      <c r="Y510" s="237" t="str">
        <f>IF(Table1[[#This Row],[Column12]]="","",Table1[[#This Row],[Qty]]*Table1[[#This Row],[Column13]])</f>
        <v/>
      </c>
      <c r="Z510" s="237" t="str">
        <f>IF(Table1[[#This Row],[h_hargasebelumdiskon]]="","",IF(Table1[[#This Row],[Column14]]="",0,Table1[[#This Row],[h_hargasebelumdiskon]]*Table1[[#This Row],[Column14]]))</f>
        <v/>
      </c>
      <c r="AA510" s="237" t="str">
        <f>IF(Table1[[#This Row],[h_hargasebelumdiskon]]="","",IF(Table1[[#This Row],[Column15]]="",0,(Table1[[#This Row],[h_hargasebelumdiskon]]-Table1[[#This Row],[h_disc 1]])*Table1[[#This Row],[Column15]]))</f>
        <v/>
      </c>
      <c r="AB510" s="237" t="str">
        <f>IF(Table1[[#This Row],[Column12]]="","",Table1[[#This Row],[h_disc 1]]+Table1[[#This Row],[h_disc 2]])</f>
        <v/>
      </c>
      <c r="AC510" s="237" t="str">
        <f>IF(Table1[[#This Row],[Column12]]="","",Table1[[#This Row],[h_hargasebelumdiskon]]-Table1[[#This Row],[h_diskon]])</f>
        <v/>
      </c>
      <c r="AD510" s="237" t="str">
        <f ca="1">IF(Table1[[#This Row],[//]]="","",SUMIF(Table1[h_id],Table1[[#This Row],[h_id]],Table1[h_hargasetelahdiskon]))</f>
        <v/>
      </c>
      <c r="AF510" s="237" t="str">
        <f>Table1[[#This Row],[Column12]]&amp;Table1[[#This Row],[Unit]]&amp;Table1[[#This Row],[Column13]]</f>
        <v/>
      </c>
      <c r="AG510"/>
      <c r="AH510"/>
      <c r="AI510"/>
    </row>
    <row r="511" spans="1:35">
      <c r="A511" s="234" t="str">
        <f ca="1">IF(Table1[[#This Row],[No. Invoice :]]="","",ROW())</f>
        <v/>
      </c>
      <c r="B511" s="234" t="str">
        <f ca="1">IF(Table1[[#This Row],[Column3]]="","",B$1+COUNT(INDIRECT("B$2:B"&amp;ROW()-1)))</f>
        <v/>
      </c>
      <c r="C511" s="235" t="str">
        <f>IF(Table1[[#This Row],[Column2]]="","",Table1[[#This Row],[Column2]]+C$1-1)</f>
        <v/>
      </c>
      <c r="E511" s="236"/>
      <c r="F511" s="234"/>
      <c r="G511" s="234" t="str">
        <f ca="1">IF(Table1[[#This Row],[h_No. Invoice :]]="","",CONCATENATE("AM"," ",Table1[[#This Row],[h_No. Invoice :]]))</f>
        <v/>
      </c>
      <c r="H511" s="234" t="str">
        <f>IF(Table1[[#This Row],[Column5]]="","",INDEX(Table2[Column1],MATCH(Table1[[#This Row],[Column5]],Table2[a],0)))</f>
        <v/>
      </c>
      <c r="I511" s="234" t="str">
        <f>IF(Table1[[#This Row],[Column3]]=0,"",CONCATENATE(UPPER(Table1[[#This Row],[Column3]])," ",Table1[[#This Row],[Column4]]))</f>
        <v xml:space="preserve"> </v>
      </c>
      <c r="J511" s="234" t="str">
        <f>IF(Table1[[#This Row],[Column5]]="","",INDEX(Table2[e],IF(Table1[[#This Row],[Column5]]="","",MATCH(Table1[[#This Row],[Column5]],Table2[a],0)),))</f>
        <v/>
      </c>
      <c r="K511" s="234"/>
      <c r="L511" s="234"/>
      <c r="O511" s="234" t="str">
        <f>IF(Table1[[#This Row],[h_Item Description]]="","",INDEX([1]!db[NB PAJAK],MATCH(Table1[[#This Row],[h_Item Description]],[1]!db[kode],0)))</f>
        <v/>
      </c>
      <c r="Q511" s="237"/>
      <c r="R511" s="238"/>
      <c r="S511" s="238"/>
      <c r="T511" s="237" t="str">
        <f>Table1[[#This Row],[h_hargasetelahdiskon]]</f>
        <v/>
      </c>
      <c r="V511" s="234"/>
      <c r="W511" s="234" t="str">
        <f ca="1">IF(Table1[[#This Row],[Column12]]="","",IF(Table1[[#This Row],[//]]="",INDIRECT(ADDRESS(ROW()-1,COLUMN())),Table1[[#This Row],[//]]))</f>
        <v/>
      </c>
      <c r="X511" s="234" t="str">
        <f ca="1">IF(Table1[[#This Row],[h_id]]="","",COUNTIF(Table1[h_id],Table1[[#This Row],[h_id]]))</f>
        <v/>
      </c>
      <c r="Y511" s="237" t="str">
        <f>IF(Table1[[#This Row],[Column12]]="","",Table1[[#This Row],[Qty]]*Table1[[#This Row],[Column13]])</f>
        <v/>
      </c>
      <c r="Z511" s="237" t="str">
        <f>IF(Table1[[#This Row],[h_hargasebelumdiskon]]="","",IF(Table1[[#This Row],[Column14]]="",0,Table1[[#This Row],[h_hargasebelumdiskon]]*Table1[[#This Row],[Column14]]))</f>
        <v/>
      </c>
      <c r="AA511" s="237" t="str">
        <f>IF(Table1[[#This Row],[h_hargasebelumdiskon]]="","",IF(Table1[[#This Row],[Column15]]="",0,(Table1[[#This Row],[h_hargasebelumdiskon]]-Table1[[#This Row],[h_disc 1]])*Table1[[#This Row],[Column15]]))</f>
        <v/>
      </c>
      <c r="AB511" s="237" t="str">
        <f>IF(Table1[[#This Row],[Column12]]="","",Table1[[#This Row],[h_disc 1]]+Table1[[#This Row],[h_disc 2]])</f>
        <v/>
      </c>
      <c r="AC511" s="237" t="str">
        <f>IF(Table1[[#This Row],[Column12]]="","",Table1[[#This Row],[h_hargasebelumdiskon]]-Table1[[#This Row],[h_diskon]])</f>
        <v/>
      </c>
      <c r="AD511" s="237" t="str">
        <f ca="1">IF(Table1[[#This Row],[//]]="","",SUMIF(Table1[h_id],Table1[[#This Row],[h_id]],Table1[h_hargasetelahdiskon]))</f>
        <v/>
      </c>
      <c r="AF511" s="237" t="str">
        <f>Table1[[#This Row],[Column12]]&amp;Table1[[#This Row],[Unit]]&amp;Table1[[#This Row],[Column13]]</f>
        <v/>
      </c>
      <c r="AG511"/>
      <c r="AH511"/>
      <c r="AI511"/>
    </row>
    <row r="512" spans="1:35">
      <c r="A512" s="234" t="str">
        <f ca="1">IF(Table1[[#This Row],[No. Invoice :]]="","",ROW())</f>
        <v/>
      </c>
      <c r="B512" s="416" t="str">
        <f ca="1">IF(Table1[[#This Row],[Column3]]="","",B$1+COUNT(INDIRECT("B$2:B"&amp;ROW()-1)))</f>
        <v/>
      </c>
      <c r="C512" s="235" t="str">
        <f>IF(Table1[[#This Row],[Column2]]="","",Table1[[#This Row],[Column2]]+C$1-1)</f>
        <v/>
      </c>
      <c r="D512" s="417"/>
      <c r="E512" s="418"/>
      <c r="F512" s="416"/>
      <c r="G512" s="234" t="str">
        <f ca="1">IF(Table1[[#This Row],[h_No. Invoice :]]="","",CONCATENATE("AM"," ",Table1[[#This Row],[h_No. Invoice :]]))</f>
        <v/>
      </c>
      <c r="H512" s="416" t="str">
        <f>IF(Table1[[#This Row],[Column5]]="","",INDEX(Table2[Column1],MATCH(Table1[[#This Row],[Column5]],Table2[a],0)))</f>
        <v/>
      </c>
      <c r="I512" s="234" t="str">
        <f>IF(Table1[[#This Row],[Column3]]=0,"",CONCATENATE(UPPER(Table1[[#This Row],[Column3]])," ",Table1[[#This Row],[Column4]]))</f>
        <v xml:space="preserve"> </v>
      </c>
      <c r="J512" s="234" t="str">
        <f>IF(Table1[[#This Row],[Column5]]="","",INDEX(Table2[e],IF(Table1[[#This Row],[Column5]]="","",MATCH(Table1[[#This Row],[Column5]],Table2[a],0)),))</f>
        <v/>
      </c>
      <c r="K512" s="234"/>
      <c r="L512" s="234"/>
      <c r="N512" s="416"/>
      <c r="O512" s="416" t="str">
        <f>IF(Table1[[#This Row],[h_Item Description]]="","",INDEX([1]!db[NB PAJAK],MATCH(Table1[[#This Row],[h_Item Description]],[1]!db[kode],0)))</f>
        <v/>
      </c>
      <c r="Q512" s="237"/>
      <c r="R512" s="238"/>
      <c r="S512" s="238"/>
      <c r="T512" s="419" t="str">
        <f>Table1[[#This Row],[h_hargasetelahdiskon]]</f>
        <v/>
      </c>
      <c r="V512" s="234"/>
      <c r="W512" s="234" t="str">
        <f ca="1">IF(Table1[[#This Row],[Column12]]="","",IF(Table1[[#This Row],[//]]="",INDIRECT(ADDRESS(ROW()-1,COLUMN())),Table1[[#This Row],[//]]))</f>
        <v/>
      </c>
      <c r="X512" s="234" t="str">
        <f ca="1">IF(Table1[[#This Row],[h_id]]="","",COUNTIF(Table1[h_id],Table1[[#This Row],[h_id]]))</f>
        <v/>
      </c>
      <c r="Y512" s="237" t="str">
        <f>IF(Table1[[#This Row],[Column12]]="","",Table1[[#This Row],[Qty]]*Table1[[#This Row],[Column13]])</f>
        <v/>
      </c>
      <c r="Z512" s="419" t="str">
        <f>IF(Table1[[#This Row],[h_hargasebelumdiskon]]="","",IF(Table1[[#This Row],[Column14]]="",0,Table1[[#This Row],[h_hargasebelumdiskon]]*Table1[[#This Row],[Column14]]))</f>
        <v/>
      </c>
      <c r="AA512" s="419" t="str">
        <f>IF(Table1[[#This Row],[h_hargasebelumdiskon]]="","",IF(Table1[[#This Row],[Column15]]="",0,(Table1[[#This Row],[h_hargasebelumdiskon]]-Table1[[#This Row],[h_disc 1]])*Table1[[#This Row],[Column15]]))</f>
        <v/>
      </c>
      <c r="AB512" s="237" t="str">
        <f>IF(Table1[[#This Row],[Column12]]="","",Table1[[#This Row],[h_disc 1]]+Table1[[#This Row],[h_disc 2]])</f>
        <v/>
      </c>
      <c r="AC512" s="237" t="str">
        <f>IF(Table1[[#This Row],[Column12]]="","",Table1[[#This Row],[h_hargasebelumdiskon]]-Table1[[#This Row],[h_diskon]])</f>
        <v/>
      </c>
      <c r="AD512" s="237" t="str">
        <f ca="1">IF(Table1[[#This Row],[//]]="","",SUMIF(Table1[h_id],Table1[[#This Row],[h_id]],Table1[h_hargasetelahdiskon]))</f>
        <v/>
      </c>
      <c r="AF512" s="237" t="str">
        <f>Table1[[#This Row],[Column12]]&amp;Table1[[#This Row],[Unit]]&amp;Table1[[#This Row],[Column13]]</f>
        <v/>
      </c>
      <c r="AG512"/>
      <c r="AH512"/>
      <c r="AI512"/>
    </row>
    <row r="513" spans="1:35">
      <c r="A513" s="234" t="str">
        <f ca="1">IF(Table1[[#This Row],[No. Invoice :]]="","",ROW())</f>
        <v/>
      </c>
      <c r="B513" s="416" t="str">
        <f ca="1">IF(Table1[[#This Row],[Column3]]="","",B$1+COUNT(INDIRECT("B$2:B"&amp;ROW()-1)))</f>
        <v/>
      </c>
      <c r="C513" s="235" t="str">
        <f>IF(Table1[[#This Row],[Column2]]="","",Table1[[#This Row],[Column2]]+C$1-1)</f>
        <v/>
      </c>
      <c r="D513" s="417"/>
      <c r="E513" s="418"/>
      <c r="F513" s="416"/>
      <c r="G513" s="234" t="str">
        <f ca="1">IF(Table1[[#This Row],[h_No. Invoice :]]="","",CONCATENATE("AM"," ",Table1[[#This Row],[h_No. Invoice :]]))</f>
        <v/>
      </c>
      <c r="H513" s="416" t="str">
        <f>IF(Table1[[#This Row],[Column5]]="","",INDEX(Table2[Column1],MATCH(Table1[[#This Row],[Column5]],Table2[a],0)))</f>
        <v/>
      </c>
      <c r="I513" s="234" t="str">
        <f>IF(Table1[[#This Row],[Column3]]=0,"",CONCATENATE(UPPER(Table1[[#This Row],[Column3]])," ",Table1[[#This Row],[Column4]]))</f>
        <v xml:space="preserve"> </v>
      </c>
      <c r="J513" s="234" t="str">
        <f>IF(Table1[[#This Row],[Column5]]="","",INDEX(Table2[e],IF(Table1[[#This Row],[Column5]]="","",MATCH(Table1[[#This Row],[Column5]],Table2[a],0)),))</f>
        <v/>
      </c>
      <c r="K513" s="234"/>
      <c r="L513" s="234"/>
      <c r="N513" s="416"/>
      <c r="O513" s="416" t="str">
        <f>IF(Table1[[#This Row],[h_Item Description]]="","",INDEX([1]!db[NB PAJAK],MATCH(Table1[[#This Row],[h_Item Description]],[1]!db[kode],0)))</f>
        <v/>
      </c>
      <c r="Q513" s="237"/>
      <c r="R513" s="238"/>
      <c r="S513" s="238"/>
      <c r="T513" s="419" t="str">
        <f>Table1[[#This Row],[h_hargasetelahdiskon]]</f>
        <v/>
      </c>
      <c r="V513" s="234"/>
      <c r="W513" s="234" t="str">
        <f ca="1">IF(Table1[[#This Row],[Column12]]="","",IF(Table1[[#This Row],[//]]="",INDIRECT(ADDRESS(ROW()-1,COLUMN())),Table1[[#This Row],[//]]))</f>
        <v/>
      </c>
      <c r="X513" s="234" t="str">
        <f ca="1">IF(Table1[[#This Row],[h_id]]="","",COUNTIF(Table1[h_id],Table1[[#This Row],[h_id]]))</f>
        <v/>
      </c>
      <c r="Y513" s="237" t="str">
        <f>IF(Table1[[#This Row],[Column12]]="","",Table1[[#This Row],[Qty]]*Table1[[#This Row],[Column13]])</f>
        <v/>
      </c>
      <c r="Z513" s="419" t="str">
        <f>IF(Table1[[#This Row],[h_hargasebelumdiskon]]="","",IF(Table1[[#This Row],[Column14]]="",0,Table1[[#This Row],[h_hargasebelumdiskon]]*Table1[[#This Row],[Column14]]))</f>
        <v/>
      </c>
      <c r="AA513" s="419" t="str">
        <f>IF(Table1[[#This Row],[h_hargasebelumdiskon]]="","",IF(Table1[[#This Row],[Column15]]="",0,(Table1[[#This Row],[h_hargasebelumdiskon]]-Table1[[#This Row],[h_disc 1]])*Table1[[#This Row],[Column15]]))</f>
        <v/>
      </c>
      <c r="AB513" s="237" t="str">
        <f>IF(Table1[[#This Row],[Column12]]="","",Table1[[#This Row],[h_disc 1]]+Table1[[#This Row],[h_disc 2]])</f>
        <v/>
      </c>
      <c r="AC513" s="237" t="str">
        <f>IF(Table1[[#This Row],[Column12]]="","",Table1[[#This Row],[h_hargasebelumdiskon]]-Table1[[#This Row],[h_diskon]])</f>
        <v/>
      </c>
      <c r="AD513" s="237" t="str">
        <f ca="1">IF(Table1[[#This Row],[//]]="","",SUMIF(Table1[h_id],Table1[[#This Row],[h_id]],Table1[h_hargasetelahdiskon]))</f>
        <v/>
      </c>
      <c r="AF513" s="237" t="str">
        <f>Table1[[#This Row],[Column12]]&amp;Table1[[#This Row],[Unit]]&amp;Table1[[#This Row],[Column13]]</f>
        <v/>
      </c>
      <c r="AG513"/>
      <c r="AH513"/>
      <c r="AI513"/>
    </row>
    <row r="514" spans="1:35">
      <c r="A514" s="234" t="str">
        <f ca="1">IF(Table1[[#This Row],[No. Invoice :]]="","",ROW())</f>
        <v/>
      </c>
      <c r="B514" s="416" t="str">
        <f ca="1">IF(Table1[[#This Row],[Column3]]="","",B$1+COUNT(INDIRECT("B$2:B"&amp;ROW()-1)))</f>
        <v/>
      </c>
      <c r="C514" s="235" t="str">
        <f>IF(Table1[[#This Row],[Column2]]="","",Table1[[#This Row],[Column2]]+C$1-1)</f>
        <v/>
      </c>
      <c r="D514" s="417"/>
      <c r="E514" s="418"/>
      <c r="F514" s="416"/>
      <c r="G514" s="234" t="str">
        <f ca="1">IF(Table1[[#This Row],[h_No. Invoice :]]="","",CONCATENATE("AM"," ",Table1[[#This Row],[h_No. Invoice :]]))</f>
        <v/>
      </c>
      <c r="H514" s="416" t="str">
        <f>IF(Table1[[#This Row],[Column5]]="","",INDEX(Table2[Column1],MATCH(Table1[[#This Row],[Column5]],Table2[a],0)))</f>
        <v/>
      </c>
      <c r="I514" s="234" t="str">
        <f>IF(Table1[[#This Row],[Column3]]=0,"",CONCATENATE(UPPER(Table1[[#This Row],[Column3]])," ",Table1[[#This Row],[Column4]]))</f>
        <v xml:space="preserve"> </v>
      </c>
      <c r="J514" s="234" t="str">
        <f>IF(Table1[[#This Row],[Column5]]="","",INDEX(Table2[e],IF(Table1[[#This Row],[Column5]]="","",MATCH(Table1[[#This Row],[Column5]],Table2[a],0)),))</f>
        <v/>
      </c>
      <c r="K514" s="234"/>
      <c r="L514" s="234"/>
      <c r="N514" s="416"/>
      <c r="O514" s="416" t="str">
        <f>IF(Table1[[#This Row],[h_Item Description]]="","",INDEX([1]!db[NB PAJAK],MATCH(Table1[[#This Row],[h_Item Description]],[1]!db[kode],0)))</f>
        <v/>
      </c>
      <c r="Q514" s="237"/>
      <c r="R514" s="238"/>
      <c r="S514" s="238"/>
      <c r="T514" s="419" t="str">
        <f>Table1[[#This Row],[h_hargasetelahdiskon]]</f>
        <v/>
      </c>
      <c r="V514" s="234"/>
      <c r="W514" s="234" t="str">
        <f ca="1">IF(Table1[[#This Row],[Column12]]="","",IF(Table1[[#This Row],[//]]="",INDIRECT(ADDRESS(ROW()-1,COLUMN())),Table1[[#This Row],[//]]))</f>
        <v/>
      </c>
      <c r="X514" s="234" t="str">
        <f ca="1">IF(Table1[[#This Row],[h_id]]="","",COUNTIF(Table1[h_id],Table1[[#This Row],[h_id]]))</f>
        <v/>
      </c>
      <c r="Y514" s="237" t="str">
        <f>IF(Table1[[#This Row],[Column12]]="","",Table1[[#This Row],[Qty]]*Table1[[#This Row],[Column13]])</f>
        <v/>
      </c>
      <c r="Z514" s="419" t="str">
        <f>IF(Table1[[#This Row],[h_hargasebelumdiskon]]="","",IF(Table1[[#This Row],[Column14]]="",0,Table1[[#This Row],[h_hargasebelumdiskon]]*Table1[[#This Row],[Column14]]))</f>
        <v/>
      </c>
      <c r="AA514" s="419" t="str">
        <f>IF(Table1[[#This Row],[h_hargasebelumdiskon]]="","",IF(Table1[[#This Row],[Column15]]="",0,(Table1[[#This Row],[h_hargasebelumdiskon]]-Table1[[#This Row],[h_disc 1]])*Table1[[#This Row],[Column15]]))</f>
        <v/>
      </c>
      <c r="AB514" s="237" t="str">
        <f>IF(Table1[[#This Row],[Column12]]="","",Table1[[#This Row],[h_disc 1]]+Table1[[#This Row],[h_disc 2]])</f>
        <v/>
      </c>
      <c r="AC514" s="237" t="str">
        <f>IF(Table1[[#This Row],[Column12]]="","",Table1[[#This Row],[h_hargasebelumdiskon]]-Table1[[#This Row],[h_diskon]])</f>
        <v/>
      </c>
      <c r="AD514" s="237" t="str">
        <f ca="1">IF(Table1[[#This Row],[//]]="","",SUMIF(Table1[h_id],Table1[[#This Row],[h_id]],Table1[h_hargasetelahdiskon]))</f>
        <v/>
      </c>
      <c r="AF514" s="237" t="str">
        <f>Table1[[#This Row],[Column12]]&amp;Table1[[#This Row],[Unit]]&amp;Table1[[#This Row],[Column13]]</f>
        <v/>
      </c>
      <c r="AG514"/>
      <c r="AH514"/>
      <c r="AI514"/>
    </row>
    <row r="515" spans="1:35">
      <c r="A515" s="234" t="str">
        <f ca="1">IF(Table1[[#This Row],[No. Invoice :]]="","",ROW())</f>
        <v/>
      </c>
      <c r="B515" s="416" t="str">
        <f ca="1">IF(Table1[[#This Row],[Column3]]="","",B$1+COUNT(INDIRECT("B$2:B"&amp;ROW()-1)))</f>
        <v/>
      </c>
      <c r="C515" s="235" t="str">
        <f>IF(Table1[[#This Row],[Column2]]="","",Table1[[#This Row],[Column2]]+C$1-1)</f>
        <v/>
      </c>
      <c r="D515" s="417"/>
      <c r="E515" s="418"/>
      <c r="F515" s="416"/>
      <c r="G515" s="234" t="str">
        <f ca="1">IF(Table1[[#This Row],[h_No. Invoice :]]="","",CONCATENATE("AM"," ",Table1[[#This Row],[h_No. Invoice :]]))</f>
        <v/>
      </c>
      <c r="H515" s="416" t="str">
        <f>IF(Table1[[#This Row],[Column5]]="","",INDEX(Table2[Column1],MATCH(Table1[[#This Row],[Column5]],Table2[a],0)))</f>
        <v/>
      </c>
      <c r="I515" s="234" t="str">
        <f>IF(Table1[[#This Row],[Column3]]=0,"",CONCATENATE(UPPER(Table1[[#This Row],[Column3]])," ",Table1[[#This Row],[Column4]]))</f>
        <v xml:space="preserve"> </v>
      </c>
      <c r="J515" s="234" t="str">
        <f>IF(Table1[[#This Row],[Column5]]="","",INDEX(Table2[e],IF(Table1[[#This Row],[Column5]]="","",MATCH(Table1[[#This Row],[Column5]],Table2[a],0)),))</f>
        <v/>
      </c>
      <c r="K515" s="234"/>
      <c r="L515" s="234"/>
      <c r="N515" s="416"/>
      <c r="O515" s="416" t="str">
        <f>IF(Table1[[#This Row],[h_Item Description]]="","",INDEX([1]!db[NB PAJAK],MATCH(Table1[[#This Row],[h_Item Description]],[1]!db[kode],0)))</f>
        <v/>
      </c>
      <c r="Q515" s="237"/>
      <c r="R515" s="238"/>
      <c r="S515" s="238"/>
      <c r="T515" s="419" t="str">
        <f>Table1[[#This Row],[h_hargasetelahdiskon]]</f>
        <v/>
      </c>
      <c r="V515" s="234"/>
      <c r="W515" s="234" t="str">
        <f ca="1">IF(Table1[[#This Row],[Column12]]="","",IF(Table1[[#This Row],[//]]="",INDIRECT(ADDRESS(ROW()-1,COLUMN())),Table1[[#This Row],[//]]))</f>
        <v/>
      </c>
      <c r="X515" s="234" t="str">
        <f ca="1">IF(Table1[[#This Row],[h_id]]="","",COUNTIF(Table1[h_id],Table1[[#This Row],[h_id]]))</f>
        <v/>
      </c>
      <c r="Y515" s="237" t="str">
        <f>IF(Table1[[#This Row],[Column12]]="","",Table1[[#This Row],[Qty]]*Table1[[#This Row],[Column13]])</f>
        <v/>
      </c>
      <c r="Z515" s="419" t="str">
        <f>IF(Table1[[#This Row],[h_hargasebelumdiskon]]="","",IF(Table1[[#This Row],[Column14]]="",0,Table1[[#This Row],[h_hargasebelumdiskon]]*Table1[[#This Row],[Column14]]))</f>
        <v/>
      </c>
      <c r="AA515" s="419" t="str">
        <f>IF(Table1[[#This Row],[h_hargasebelumdiskon]]="","",IF(Table1[[#This Row],[Column15]]="",0,(Table1[[#This Row],[h_hargasebelumdiskon]]-Table1[[#This Row],[h_disc 1]])*Table1[[#This Row],[Column15]]))</f>
        <v/>
      </c>
      <c r="AB515" s="237" t="str">
        <f>IF(Table1[[#This Row],[Column12]]="","",Table1[[#This Row],[h_disc 1]]+Table1[[#This Row],[h_disc 2]])</f>
        <v/>
      </c>
      <c r="AC515" s="237" t="str">
        <f>IF(Table1[[#This Row],[Column12]]="","",Table1[[#This Row],[h_hargasebelumdiskon]]-Table1[[#This Row],[h_diskon]])</f>
        <v/>
      </c>
      <c r="AD515" s="237" t="str">
        <f ca="1">IF(Table1[[#This Row],[//]]="","",SUMIF(Table1[h_id],Table1[[#This Row],[h_id]],Table1[h_hargasetelahdiskon]))</f>
        <v/>
      </c>
      <c r="AF515" s="237" t="str">
        <f>Table1[[#This Row],[Column12]]&amp;Table1[[#This Row],[Unit]]&amp;Table1[[#This Row],[Column13]]</f>
        <v/>
      </c>
      <c r="AG515"/>
      <c r="AH515"/>
      <c r="AI515"/>
    </row>
    <row r="516" spans="1:35">
      <c r="A516" s="234" t="str">
        <f ca="1">IF(Table1[[#This Row],[No. Invoice :]]="","",ROW())</f>
        <v/>
      </c>
      <c r="B516" s="416" t="str">
        <f ca="1">IF(Table1[[#This Row],[Column3]]="","",B$1+COUNT(INDIRECT("B$2:B"&amp;ROW()-1)))</f>
        <v/>
      </c>
      <c r="C516" s="235" t="str">
        <f>IF(Table1[[#This Row],[Column2]]="","",Table1[[#This Row],[Column2]]+C$1-1)</f>
        <v/>
      </c>
      <c r="D516" s="417"/>
      <c r="E516" s="418"/>
      <c r="F516" s="416"/>
      <c r="G516" s="234" t="str">
        <f ca="1">IF(Table1[[#This Row],[h_No. Invoice :]]="","",CONCATENATE("AM"," ",Table1[[#This Row],[h_No. Invoice :]]))</f>
        <v/>
      </c>
      <c r="H516" s="416" t="str">
        <f>IF(Table1[[#This Row],[Column5]]="","",INDEX(Table2[Column1],MATCH(Table1[[#This Row],[Column5]],Table2[a],0)))</f>
        <v/>
      </c>
      <c r="I516" s="234" t="str">
        <f>IF(Table1[[#This Row],[Column3]]=0,"",CONCATENATE(UPPER(Table1[[#This Row],[Column3]])," ",Table1[[#This Row],[Column4]]))</f>
        <v xml:space="preserve"> </v>
      </c>
      <c r="J516" s="234" t="str">
        <f>IF(Table1[[#This Row],[Column5]]="","",INDEX(Table2[e],IF(Table1[[#This Row],[Column5]]="","",MATCH(Table1[[#This Row],[Column5]],Table2[a],0)),))</f>
        <v/>
      </c>
      <c r="K516" s="234"/>
      <c r="L516" s="234"/>
      <c r="N516" s="416"/>
      <c r="O516" s="416" t="str">
        <f>IF(Table1[[#This Row],[h_Item Description]]="","",INDEX([1]!db[NB PAJAK],MATCH(Table1[[#This Row],[h_Item Description]],[1]!db[kode],0)))</f>
        <v/>
      </c>
      <c r="Q516" s="237"/>
      <c r="R516" s="238"/>
      <c r="S516" s="238"/>
      <c r="T516" s="419" t="str">
        <f>Table1[[#This Row],[h_hargasetelahdiskon]]</f>
        <v/>
      </c>
      <c r="V516" s="234"/>
      <c r="W516" s="234" t="str">
        <f ca="1">IF(Table1[[#This Row],[Column12]]="","",IF(Table1[[#This Row],[//]]="",INDIRECT(ADDRESS(ROW()-1,COLUMN())),Table1[[#This Row],[//]]))</f>
        <v/>
      </c>
      <c r="X516" s="234" t="str">
        <f ca="1">IF(Table1[[#This Row],[h_id]]="","",COUNTIF(Table1[h_id],Table1[[#This Row],[h_id]]))</f>
        <v/>
      </c>
      <c r="Y516" s="237" t="str">
        <f>IF(Table1[[#This Row],[Column12]]="","",Table1[[#This Row],[Qty]]*Table1[[#This Row],[Column13]])</f>
        <v/>
      </c>
      <c r="Z516" s="419" t="str">
        <f>IF(Table1[[#This Row],[h_hargasebelumdiskon]]="","",IF(Table1[[#This Row],[Column14]]="",0,Table1[[#This Row],[h_hargasebelumdiskon]]*Table1[[#This Row],[Column14]]))</f>
        <v/>
      </c>
      <c r="AA516" s="419" t="str">
        <f>IF(Table1[[#This Row],[h_hargasebelumdiskon]]="","",IF(Table1[[#This Row],[Column15]]="",0,(Table1[[#This Row],[h_hargasebelumdiskon]]-Table1[[#This Row],[h_disc 1]])*Table1[[#This Row],[Column15]]))</f>
        <v/>
      </c>
      <c r="AB516" s="237" t="str">
        <f>IF(Table1[[#This Row],[Column12]]="","",Table1[[#This Row],[h_disc 1]]+Table1[[#This Row],[h_disc 2]])</f>
        <v/>
      </c>
      <c r="AC516" s="237" t="str">
        <f>IF(Table1[[#This Row],[Column12]]="","",Table1[[#This Row],[h_hargasebelumdiskon]]-Table1[[#This Row],[h_diskon]])</f>
        <v/>
      </c>
      <c r="AD516" s="237" t="str">
        <f ca="1">IF(Table1[[#This Row],[//]]="","",SUMIF(Table1[h_id],Table1[[#This Row],[h_id]],Table1[h_hargasetelahdiskon]))</f>
        <v/>
      </c>
      <c r="AF516" s="237" t="str">
        <f>Table1[[#This Row],[Column12]]&amp;Table1[[#This Row],[Unit]]&amp;Table1[[#This Row],[Column13]]</f>
        <v/>
      </c>
      <c r="AG516"/>
      <c r="AH516"/>
      <c r="AI516"/>
    </row>
    <row r="517" spans="1:35">
      <c r="A517" s="234" t="str">
        <f ca="1">IF(Table1[[#This Row],[No. Invoice :]]="","",ROW())</f>
        <v/>
      </c>
      <c r="B517" s="416" t="str">
        <f ca="1">IF(Table1[[#This Row],[Column3]]="","",B$1+COUNT(INDIRECT("B$2:B"&amp;ROW()-1)))</f>
        <v/>
      </c>
      <c r="C517" s="235" t="str">
        <f>IF(Table1[[#This Row],[Column2]]="","",Table1[[#This Row],[Column2]]+C$1-1)</f>
        <v/>
      </c>
      <c r="D517" s="417"/>
      <c r="E517" s="418"/>
      <c r="F517" s="416"/>
      <c r="G517" s="234" t="str">
        <f ca="1">IF(Table1[[#This Row],[h_No. Invoice :]]="","",CONCATENATE("AM"," ",Table1[[#This Row],[h_No. Invoice :]]))</f>
        <v/>
      </c>
      <c r="H517" s="416" t="str">
        <f>IF(Table1[[#This Row],[Column5]]="","",INDEX(Table2[Column1],MATCH(Table1[[#This Row],[Column5]],Table2[a],0)))</f>
        <v/>
      </c>
      <c r="I517" s="234" t="str">
        <f>IF(Table1[[#This Row],[Column3]]=0,"",CONCATENATE(UPPER(Table1[[#This Row],[Column3]])," ",Table1[[#This Row],[Column4]]))</f>
        <v xml:space="preserve"> </v>
      </c>
      <c r="J517" s="234" t="str">
        <f>IF(Table1[[#This Row],[Column5]]="","",INDEX(Table2[e],IF(Table1[[#This Row],[Column5]]="","",MATCH(Table1[[#This Row],[Column5]],Table2[a],0)),))</f>
        <v/>
      </c>
      <c r="K517" s="234"/>
      <c r="L517" s="234"/>
      <c r="N517" s="416"/>
      <c r="O517" s="416" t="str">
        <f>IF(Table1[[#This Row],[h_Item Description]]="","",INDEX([1]!db[NB PAJAK],MATCH(Table1[[#This Row],[h_Item Description]],[1]!db[kode],0)))</f>
        <v/>
      </c>
      <c r="Q517" s="237"/>
      <c r="R517" s="238"/>
      <c r="S517" s="238"/>
      <c r="T517" s="419" t="str">
        <f>Table1[[#This Row],[h_hargasetelahdiskon]]</f>
        <v/>
      </c>
      <c r="V517" s="234"/>
      <c r="W517" s="234" t="str">
        <f ca="1">IF(Table1[[#This Row],[Column12]]="","",IF(Table1[[#This Row],[//]]="",INDIRECT(ADDRESS(ROW()-1,COLUMN())),Table1[[#This Row],[//]]))</f>
        <v/>
      </c>
      <c r="X517" s="234" t="str">
        <f ca="1">IF(Table1[[#This Row],[h_id]]="","",COUNTIF(Table1[h_id],Table1[[#This Row],[h_id]]))</f>
        <v/>
      </c>
      <c r="Y517" s="237" t="str">
        <f>IF(Table1[[#This Row],[Column12]]="","",Table1[[#This Row],[Qty]]*Table1[[#This Row],[Column13]])</f>
        <v/>
      </c>
      <c r="Z517" s="419" t="str">
        <f>IF(Table1[[#This Row],[h_hargasebelumdiskon]]="","",IF(Table1[[#This Row],[Column14]]="",0,Table1[[#This Row],[h_hargasebelumdiskon]]*Table1[[#This Row],[Column14]]))</f>
        <v/>
      </c>
      <c r="AA517" s="419" t="str">
        <f>IF(Table1[[#This Row],[h_hargasebelumdiskon]]="","",IF(Table1[[#This Row],[Column15]]="",0,(Table1[[#This Row],[h_hargasebelumdiskon]]-Table1[[#This Row],[h_disc 1]])*Table1[[#This Row],[Column15]]))</f>
        <v/>
      </c>
      <c r="AB517" s="237" t="str">
        <f>IF(Table1[[#This Row],[Column12]]="","",Table1[[#This Row],[h_disc 1]]+Table1[[#This Row],[h_disc 2]])</f>
        <v/>
      </c>
      <c r="AC517" s="237" t="str">
        <f>IF(Table1[[#This Row],[Column12]]="","",Table1[[#This Row],[h_hargasebelumdiskon]]-Table1[[#This Row],[h_diskon]])</f>
        <v/>
      </c>
      <c r="AD517" s="237" t="str">
        <f ca="1">IF(Table1[[#This Row],[//]]="","",SUMIF(Table1[h_id],Table1[[#This Row],[h_id]],Table1[h_hargasetelahdiskon]))</f>
        <v/>
      </c>
      <c r="AF517" s="237" t="str">
        <f>Table1[[#This Row],[Column12]]&amp;Table1[[#This Row],[Unit]]&amp;Table1[[#This Row],[Column13]]</f>
        <v/>
      </c>
      <c r="AG517"/>
      <c r="AH517"/>
      <c r="AI517"/>
    </row>
    <row r="518" spans="1:35">
      <c r="A518" s="234" t="str">
        <f ca="1">IF(Table1[[#This Row],[No. Invoice :]]="","",ROW())</f>
        <v/>
      </c>
      <c r="B518" s="416" t="str">
        <f ca="1">IF(Table1[[#This Row],[Column3]]="","",B$1+COUNT(INDIRECT("B$2:B"&amp;ROW()-1)))</f>
        <v/>
      </c>
      <c r="C518" s="235" t="str">
        <f>IF(Table1[[#This Row],[Column2]]="","",Table1[[#This Row],[Column2]]+C$1-1)</f>
        <v/>
      </c>
      <c r="D518" s="417"/>
      <c r="E518" s="418"/>
      <c r="F518" s="416"/>
      <c r="G518" s="234" t="str">
        <f ca="1">IF(Table1[[#This Row],[h_No. Invoice :]]="","",CONCATENATE("AM"," ",Table1[[#This Row],[h_No. Invoice :]]))</f>
        <v/>
      </c>
      <c r="H518" s="416" t="str">
        <f>IF(Table1[[#This Row],[Column5]]="","",INDEX(Table2[Column1],MATCH(Table1[[#This Row],[Column5]],Table2[a],0)))</f>
        <v/>
      </c>
      <c r="I518" s="234" t="str">
        <f>IF(Table1[[#This Row],[Column3]]=0,"",CONCATENATE(UPPER(Table1[[#This Row],[Column3]])," ",Table1[[#This Row],[Column4]]))</f>
        <v xml:space="preserve"> </v>
      </c>
      <c r="J518" s="234" t="str">
        <f>IF(Table1[[#This Row],[Column5]]="","",INDEX(Table2[e],IF(Table1[[#This Row],[Column5]]="","",MATCH(Table1[[#This Row],[Column5]],Table2[a],0)),))</f>
        <v/>
      </c>
      <c r="K518" s="234"/>
      <c r="L518" s="234"/>
      <c r="N518" s="416"/>
      <c r="O518" s="416" t="str">
        <f>IF(Table1[[#This Row],[h_Item Description]]="","",INDEX([1]!db[NB PAJAK],MATCH(Table1[[#This Row],[h_Item Description]],[1]!db[kode],0)))</f>
        <v/>
      </c>
      <c r="Q518" s="237"/>
      <c r="R518" s="238"/>
      <c r="S518" s="238"/>
      <c r="T518" s="419" t="str">
        <f>Table1[[#This Row],[h_hargasetelahdiskon]]</f>
        <v/>
      </c>
      <c r="V518" s="234"/>
      <c r="W518" s="234" t="str">
        <f ca="1">IF(Table1[[#This Row],[Column12]]="","",IF(Table1[[#This Row],[//]]="",INDIRECT(ADDRESS(ROW()-1,COLUMN())),Table1[[#This Row],[//]]))</f>
        <v/>
      </c>
      <c r="X518" s="234" t="str">
        <f ca="1">IF(Table1[[#This Row],[h_id]]="","",COUNTIF(Table1[h_id],Table1[[#This Row],[h_id]]))</f>
        <v/>
      </c>
      <c r="Y518" s="237" t="str">
        <f>IF(Table1[[#This Row],[Column12]]="","",Table1[[#This Row],[Qty]]*Table1[[#This Row],[Column13]])</f>
        <v/>
      </c>
      <c r="Z518" s="419" t="str">
        <f>IF(Table1[[#This Row],[h_hargasebelumdiskon]]="","",IF(Table1[[#This Row],[Column14]]="",0,Table1[[#This Row],[h_hargasebelumdiskon]]*Table1[[#This Row],[Column14]]))</f>
        <v/>
      </c>
      <c r="AA518" s="419" t="str">
        <f>IF(Table1[[#This Row],[h_hargasebelumdiskon]]="","",IF(Table1[[#This Row],[Column15]]="",0,(Table1[[#This Row],[h_hargasebelumdiskon]]-Table1[[#This Row],[h_disc 1]])*Table1[[#This Row],[Column15]]))</f>
        <v/>
      </c>
      <c r="AB518" s="237" t="str">
        <f>IF(Table1[[#This Row],[Column12]]="","",Table1[[#This Row],[h_disc 1]]+Table1[[#This Row],[h_disc 2]])</f>
        <v/>
      </c>
      <c r="AC518" s="237" t="str">
        <f>IF(Table1[[#This Row],[Column12]]="","",Table1[[#This Row],[h_hargasebelumdiskon]]-Table1[[#This Row],[h_diskon]])</f>
        <v/>
      </c>
      <c r="AD518" s="237" t="str">
        <f ca="1">IF(Table1[[#This Row],[//]]="","",SUMIF(Table1[h_id],Table1[[#This Row],[h_id]],Table1[h_hargasetelahdiskon]))</f>
        <v/>
      </c>
      <c r="AF518" s="237" t="str">
        <f>Table1[[#This Row],[Column12]]&amp;Table1[[#This Row],[Unit]]&amp;Table1[[#This Row],[Column13]]</f>
        <v/>
      </c>
      <c r="AG518"/>
      <c r="AH518"/>
      <c r="AI518"/>
    </row>
    <row r="519" spans="1:35">
      <c r="A519" s="234" t="str">
        <f ca="1">IF(Table1[[#This Row],[No. Invoice :]]="","",ROW())</f>
        <v/>
      </c>
      <c r="B519" s="416" t="str">
        <f ca="1">IF(Table1[[#This Row],[Column3]]="","",B$1+COUNT(INDIRECT("B$2:B"&amp;ROW()-1)))</f>
        <v/>
      </c>
      <c r="C519" s="235" t="str">
        <f>IF(Table1[[#This Row],[Column2]]="","",Table1[[#This Row],[Column2]]+C$1-1)</f>
        <v/>
      </c>
      <c r="D519" s="417"/>
      <c r="E519" s="418"/>
      <c r="F519" s="416"/>
      <c r="G519" s="234" t="str">
        <f ca="1">IF(Table1[[#This Row],[h_No. Invoice :]]="","",CONCATENATE("AM"," ",Table1[[#This Row],[h_No. Invoice :]]))</f>
        <v/>
      </c>
      <c r="H519" s="416" t="str">
        <f>IF(Table1[[#This Row],[Column5]]="","",INDEX(Table2[Column1],MATCH(Table1[[#This Row],[Column5]],Table2[a],0)))</f>
        <v/>
      </c>
      <c r="I519" s="234" t="str">
        <f>IF(Table1[[#This Row],[Column3]]=0,"",CONCATENATE(UPPER(Table1[[#This Row],[Column3]])," ",Table1[[#This Row],[Column4]]))</f>
        <v xml:space="preserve"> </v>
      </c>
      <c r="J519" s="234" t="str">
        <f>IF(Table1[[#This Row],[Column5]]="","",INDEX(Table2[e],IF(Table1[[#This Row],[Column5]]="","",MATCH(Table1[[#This Row],[Column5]],Table2[a],0)),))</f>
        <v/>
      </c>
      <c r="K519" s="234"/>
      <c r="L519" s="234"/>
      <c r="N519" s="416"/>
      <c r="O519" s="416" t="str">
        <f>IF(Table1[[#This Row],[h_Item Description]]="","",INDEX([1]!db[NB PAJAK],MATCH(Table1[[#This Row],[h_Item Description]],[1]!db[kode],0)))</f>
        <v/>
      </c>
      <c r="Q519" s="237"/>
      <c r="R519" s="238"/>
      <c r="S519" s="238"/>
      <c r="T519" s="419" t="str">
        <f>Table1[[#This Row],[h_hargasetelahdiskon]]</f>
        <v/>
      </c>
      <c r="V519" s="234"/>
      <c r="W519" s="234" t="str">
        <f ca="1">IF(Table1[[#This Row],[Column12]]="","",IF(Table1[[#This Row],[//]]="",INDIRECT(ADDRESS(ROW()-1,COLUMN())),Table1[[#This Row],[//]]))</f>
        <v/>
      </c>
      <c r="X519" s="234" t="str">
        <f ca="1">IF(Table1[[#This Row],[h_id]]="","",COUNTIF(Table1[h_id],Table1[[#This Row],[h_id]]))</f>
        <v/>
      </c>
      <c r="Y519" s="237" t="str">
        <f>IF(Table1[[#This Row],[Column12]]="","",Table1[[#This Row],[Qty]]*Table1[[#This Row],[Column13]])</f>
        <v/>
      </c>
      <c r="Z519" s="419" t="str">
        <f>IF(Table1[[#This Row],[h_hargasebelumdiskon]]="","",IF(Table1[[#This Row],[Column14]]="",0,Table1[[#This Row],[h_hargasebelumdiskon]]*Table1[[#This Row],[Column14]]))</f>
        <v/>
      </c>
      <c r="AA519" s="419" t="str">
        <f>IF(Table1[[#This Row],[h_hargasebelumdiskon]]="","",IF(Table1[[#This Row],[Column15]]="",0,(Table1[[#This Row],[h_hargasebelumdiskon]]-Table1[[#This Row],[h_disc 1]])*Table1[[#This Row],[Column15]]))</f>
        <v/>
      </c>
      <c r="AB519" s="237" t="str">
        <f>IF(Table1[[#This Row],[Column12]]="","",Table1[[#This Row],[h_disc 1]]+Table1[[#This Row],[h_disc 2]])</f>
        <v/>
      </c>
      <c r="AC519" s="237" t="str">
        <f>IF(Table1[[#This Row],[Column12]]="","",Table1[[#This Row],[h_hargasebelumdiskon]]-Table1[[#This Row],[h_diskon]])</f>
        <v/>
      </c>
      <c r="AD519" s="237" t="str">
        <f ca="1">IF(Table1[[#This Row],[//]]="","",SUMIF(Table1[h_id],Table1[[#This Row],[h_id]],Table1[h_hargasetelahdiskon]))</f>
        <v/>
      </c>
      <c r="AF519" s="237" t="str">
        <f>Table1[[#This Row],[Column12]]&amp;Table1[[#This Row],[Unit]]&amp;Table1[[#This Row],[Column13]]</f>
        <v/>
      </c>
      <c r="AG519"/>
      <c r="AH519"/>
      <c r="AI519"/>
    </row>
    <row r="520" spans="1:35">
      <c r="A520" s="234" t="str">
        <f ca="1">IF(Table1[[#This Row],[No. Invoice :]]="","",ROW())</f>
        <v/>
      </c>
      <c r="B520" s="416" t="str">
        <f ca="1">IF(Table1[[#This Row],[Column3]]="","",B$1+COUNT(INDIRECT("B$2:B"&amp;ROW()-1)))</f>
        <v/>
      </c>
      <c r="C520" s="235" t="str">
        <f>IF(Table1[[#This Row],[Column2]]="","",Table1[[#This Row],[Column2]]+C$1-1)</f>
        <v/>
      </c>
      <c r="D520" s="417"/>
      <c r="E520" s="418"/>
      <c r="F520" s="416"/>
      <c r="G520" s="234" t="str">
        <f ca="1">IF(Table1[[#This Row],[h_No. Invoice :]]="","",CONCATENATE("AM"," ",Table1[[#This Row],[h_No. Invoice :]]))</f>
        <v/>
      </c>
      <c r="H520" s="416" t="str">
        <f>IF(Table1[[#This Row],[Column5]]="","",INDEX(Table2[Column1],MATCH(Table1[[#This Row],[Column5]],Table2[a],0)))</f>
        <v/>
      </c>
      <c r="I520" s="234" t="str">
        <f>IF(Table1[[#This Row],[Column3]]=0,"",CONCATENATE(UPPER(Table1[[#This Row],[Column3]])," ",Table1[[#This Row],[Column4]]))</f>
        <v xml:space="preserve"> </v>
      </c>
      <c r="J520" s="234" t="str">
        <f>IF(Table1[[#This Row],[Column5]]="","",INDEX(Table2[e],IF(Table1[[#This Row],[Column5]]="","",MATCH(Table1[[#This Row],[Column5]],Table2[a],0)),))</f>
        <v/>
      </c>
      <c r="K520" s="234"/>
      <c r="L520" s="234"/>
      <c r="N520" s="416"/>
      <c r="O520" s="416" t="str">
        <f>IF(Table1[[#This Row],[h_Item Description]]="","",INDEX([1]!db[NB PAJAK],MATCH(Table1[[#This Row],[h_Item Description]],[1]!db[kode],0)))</f>
        <v/>
      </c>
      <c r="Q520" s="237"/>
      <c r="R520" s="238"/>
      <c r="S520" s="238"/>
      <c r="T520" s="419" t="str">
        <f>Table1[[#This Row],[h_hargasetelahdiskon]]</f>
        <v/>
      </c>
      <c r="V520" s="234"/>
      <c r="W520" s="234" t="str">
        <f ca="1">IF(Table1[[#This Row],[Column12]]="","",IF(Table1[[#This Row],[//]]="",INDIRECT(ADDRESS(ROW()-1,COLUMN())),Table1[[#This Row],[//]]))</f>
        <v/>
      </c>
      <c r="X520" s="234" t="str">
        <f ca="1">IF(Table1[[#This Row],[h_id]]="","",COUNTIF(Table1[h_id],Table1[[#This Row],[h_id]]))</f>
        <v/>
      </c>
      <c r="Y520" s="237" t="str">
        <f>IF(Table1[[#This Row],[Column12]]="","",Table1[[#This Row],[Qty]]*Table1[[#This Row],[Column13]])</f>
        <v/>
      </c>
      <c r="Z520" s="419" t="str">
        <f>IF(Table1[[#This Row],[h_hargasebelumdiskon]]="","",IF(Table1[[#This Row],[Column14]]="",0,Table1[[#This Row],[h_hargasebelumdiskon]]*Table1[[#This Row],[Column14]]))</f>
        <v/>
      </c>
      <c r="AA520" s="419" t="str">
        <f>IF(Table1[[#This Row],[h_hargasebelumdiskon]]="","",IF(Table1[[#This Row],[Column15]]="",0,(Table1[[#This Row],[h_hargasebelumdiskon]]-Table1[[#This Row],[h_disc 1]])*Table1[[#This Row],[Column15]]))</f>
        <v/>
      </c>
      <c r="AB520" s="237" t="str">
        <f>IF(Table1[[#This Row],[Column12]]="","",Table1[[#This Row],[h_disc 1]]+Table1[[#This Row],[h_disc 2]])</f>
        <v/>
      </c>
      <c r="AC520" s="237" t="str">
        <f>IF(Table1[[#This Row],[Column12]]="","",Table1[[#This Row],[h_hargasebelumdiskon]]-Table1[[#This Row],[h_diskon]])</f>
        <v/>
      </c>
      <c r="AD520" s="237" t="str">
        <f ca="1">IF(Table1[[#This Row],[//]]="","",SUMIF(Table1[h_id],Table1[[#This Row],[h_id]],Table1[h_hargasetelahdiskon]))</f>
        <v/>
      </c>
      <c r="AF520" s="237" t="str">
        <f>Table1[[#This Row],[Column12]]&amp;Table1[[#This Row],[Unit]]&amp;Table1[[#This Row],[Column13]]</f>
        <v/>
      </c>
      <c r="AG520"/>
      <c r="AH520"/>
      <c r="AI520"/>
    </row>
    <row r="521" spans="1:35">
      <c r="A521" s="234" t="str">
        <f ca="1">IF(Table1[[#This Row],[No. Invoice :]]="","",ROW())</f>
        <v/>
      </c>
      <c r="B521" s="234" t="str">
        <f ca="1">IF(Table1[[#This Row],[Column3]]="","",B$1+COUNT(INDIRECT("B$2:B"&amp;ROW()-1)))</f>
        <v/>
      </c>
      <c r="C521" s="235" t="str">
        <f>IF(Table1[[#This Row],[Column2]]="","",Table1[[#This Row],[Column2]]+C$1-1)</f>
        <v/>
      </c>
      <c r="E521" s="236"/>
      <c r="F521" s="234"/>
      <c r="G521" s="234" t="str">
        <f ca="1">IF(Table1[[#This Row],[h_No. Invoice :]]="","",CONCATENATE("AM"," ",Table1[[#This Row],[h_No. Invoice :]]))</f>
        <v/>
      </c>
      <c r="H521" s="234" t="str">
        <f>IF(Table1[[#This Row],[Column5]]="","",INDEX(Table2[Column1],MATCH(Table1[[#This Row],[Column5]],Table2[a],0)))</f>
        <v/>
      </c>
      <c r="I521" s="234" t="str">
        <f>IF(Table1[[#This Row],[Column3]]=0,"",CONCATENATE(UPPER(Table1[[#This Row],[Column3]])," ",Table1[[#This Row],[Column4]]))</f>
        <v xml:space="preserve"> </v>
      </c>
      <c r="J521" s="234" t="str">
        <f>IF(Table1[[#This Row],[Column5]]="","",INDEX(Table2[e],IF(Table1[[#This Row],[Column5]]="","",MATCH(Table1[[#This Row],[Column5]],Table2[a],0)),))</f>
        <v/>
      </c>
      <c r="K521" s="234"/>
      <c r="L521" s="234"/>
      <c r="O521" s="234" t="str">
        <f>IF(Table1[[#This Row],[h_Item Description]]="","",INDEX([1]!db[NB PAJAK],MATCH(Table1[[#This Row],[h_Item Description]],[1]!db[kode],0)))</f>
        <v/>
      </c>
      <c r="Q521" s="237"/>
      <c r="R521" s="238"/>
      <c r="S521" s="238"/>
      <c r="T521" s="237" t="str">
        <f>Table1[[#This Row],[h_hargasetelahdiskon]]</f>
        <v/>
      </c>
      <c r="V521" s="234"/>
      <c r="W521" s="234" t="str">
        <f ca="1">IF(Table1[[#This Row],[Column12]]="","",IF(Table1[[#This Row],[//]]="",INDIRECT(ADDRESS(ROW()-1,COLUMN())),Table1[[#This Row],[//]]))</f>
        <v/>
      </c>
      <c r="X521" s="234" t="str">
        <f ca="1">IF(Table1[[#This Row],[h_id]]="","",COUNTIF(Table1[h_id],Table1[[#This Row],[h_id]]))</f>
        <v/>
      </c>
      <c r="Y521" s="237" t="str">
        <f>IF(Table1[[#This Row],[Column12]]="","",Table1[[#This Row],[Qty]]*Table1[[#This Row],[Column13]])</f>
        <v/>
      </c>
      <c r="Z521" s="237" t="str">
        <f>IF(Table1[[#This Row],[h_hargasebelumdiskon]]="","",IF(Table1[[#This Row],[Column14]]="",0,Table1[[#This Row],[h_hargasebelumdiskon]]*Table1[[#This Row],[Column14]]))</f>
        <v/>
      </c>
      <c r="AA521" s="237" t="str">
        <f>IF(Table1[[#This Row],[h_hargasebelumdiskon]]="","",IF(Table1[[#This Row],[Column15]]="",0,(Table1[[#This Row],[h_hargasebelumdiskon]]-Table1[[#This Row],[h_disc 1]])*Table1[[#This Row],[Column15]]))</f>
        <v/>
      </c>
      <c r="AB521" s="237" t="str">
        <f>IF(Table1[[#This Row],[Column12]]="","",Table1[[#This Row],[h_disc 1]]+Table1[[#This Row],[h_disc 2]])</f>
        <v/>
      </c>
      <c r="AC521" s="237" t="str">
        <f>IF(Table1[[#This Row],[Column12]]="","",Table1[[#This Row],[h_hargasebelumdiskon]]-Table1[[#This Row],[h_diskon]])</f>
        <v/>
      </c>
      <c r="AD521" s="237" t="str">
        <f ca="1">IF(Table1[[#This Row],[//]]="","",SUMIF(Table1[h_id],Table1[[#This Row],[h_id]],Table1[h_hargasetelahdiskon]))</f>
        <v/>
      </c>
      <c r="AF521" s="237" t="str">
        <f>Table1[[#This Row],[Column12]]&amp;Table1[[#This Row],[Unit]]&amp;Table1[[#This Row],[Column13]]</f>
        <v/>
      </c>
      <c r="AG521"/>
      <c r="AH521"/>
      <c r="AI521"/>
    </row>
    <row r="522" spans="1:35">
      <c r="A522" s="234" t="str">
        <f ca="1">IF(Table1[[#This Row],[No. Invoice :]]="","",ROW())</f>
        <v/>
      </c>
      <c r="B522" s="234" t="str">
        <f ca="1">IF(Table1[[#This Row],[Column3]]="","",B$1+COUNT(INDIRECT("B$2:B"&amp;ROW()-1)))</f>
        <v/>
      </c>
      <c r="C522" s="235" t="str">
        <f>IF(Table1[[#This Row],[Column2]]="","",Table1[[#This Row],[Column2]]+C$1-1)</f>
        <v/>
      </c>
      <c r="E522" s="236"/>
      <c r="F522" s="234"/>
      <c r="G522" s="234" t="str">
        <f ca="1">IF(Table1[[#This Row],[h_No. Invoice :]]="","",CONCATENATE("AM"," ",Table1[[#This Row],[h_No. Invoice :]]))</f>
        <v/>
      </c>
      <c r="H522" s="234" t="str">
        <f>IF(Table1[[#This Row],[Column5]]="","",INDEX(Table2[Column1],MATCH(Table1[[#This Row],[Column5]],Table2[a],0)))</f>
        <v/>
      </c>
      <c r="I522" s="234" t="str">
        <f>IF(Table1[[#This Row],[Column3]]=0,"",CONCATENATE(UPPER(Table1[[#This Row],[Column3]])," ",Table1[[#This Row],[Column4]]))</f>
        <v xml:space="preserve"> </v>
      </c>
      <c r="J522" s="234" t="str">
        <f>IF(Table1[[#This Row],[Column5]]="","",INDEX(Table2[e],IF(Table1[[#This Row],[Column5]]="","",MATCH(Table1[[#This Row],[Column5]],Table2[a],0)),))</f>
        <v/>
      </c>
      <c r="K522" s="234"/>
      <c r="L522" s="234"/>
      <c r="O522" s="234" t="str">
        <f>IF(Table1[[#This Row],[h_Item Description]]="","",INDEX([1]!db[NB PAJAK],MATCH(Table1[[#This Row],[h_Item Description]],[1]!db[kode],0)))</f>
        <v/>
      </c>
      <c r="Q522" s="237"/>
      <c r="R522" s="238"/>
      <c r="S522" s="238"/>
      <c r="T522" s="237" t="str">
        <f>Table1[[#This Row],[h_hargasetelahdiskon]]</f>
        <v/>
      </c>
      <c r="V522" s="234"/>
      <c r="W522" s="234" t="str">
        <f ca="1">IF(Table1[[#This Row],[Column12]]="","",IF(Table1[[#This Row],[//]]="",INDIRECT(ADDRESS(ROW()-1,COLUMN())),Table1[[#This Row],[//]]))</f>
        <v/>
      </c>
      <c r="X522" s="234" t="str">
        <f ca="1">IF(Table1[[#This Row],[h_id]]="","",COUNTIF(Table1[h_id],Table1[[#This Row],[h_id]]))</f>
        <v/>
      </c>
      <c r="Y522" s="237" t="str">
        <f>IF(Table1[[#This Row],[Column12]]="","",Table1[[#This Row],[Qty]]*Table1[[#This Row],[Column13]])</f>
        <v/>
      </c>
      <c r="Z522" s="237" t="str">
        <f>IF(Table1[[#This Row],[h_hargasebelumdiskon]]="","",IF(Table1[[#This Row],[Column14]]="",0,Table1[[#This Row],[h_hargasebelumdiskon]]*Table1[[#This Row],[Column14]]))</f>
        <v/>
      </c>
      <c r="AA522" s="237" t="str">
        <f>IF(Table1[[#This Row],[h_hargasebelumdiskon]]="","",IF(Table1[[#This Row],[Column15]]="",0,(Table1[[#This Row],[h_hargasebelumdiskon]]-Table1[[#This Row],[h_disc 1]])*Table1[[#This Row],[Column15]]))</f>
        <v/>
      </c>
      <c r="AB522" s="237" t="str">
        <f>IF(Table1[[#This Row],[Column12]]="","",Table1[[#This Row],[h_disc 1]]+Table1[[#This Row],[h_disc 2]])</f>
        <v/>
      </c>
      <c r="AC522" s="237" t="str">
        <f>IF(Table1[[#This Row],[Column12]]="","",Table1[[#This Row],[h_hargasebelumdiskon]]-Table1[[#This Row],[h_diskon]])</f>
        <v/>
      </c>
      <c r="AD522" s="237" t="str">
        <f ca="1">IF(Table1[[#This Row],[//]]="","",SUMIF(Table1[h_id],Table1[[#This Row],[h_id]],Table1[h_hargasetelahdiskon]))</f>
        <v/>
      </c>
      <c r="AF522" s="237" t="str">
        <f>Table1[[#This Row],[Column12]]&amp;Table1[[#This Row],[Unit]]&amp;Table1[[#This Row],[Column13]]</f>
        <v/>
      </c>
      <c r="AG522"/>
      <c r="AH522"/>
      <c r="AI522"/>
    </row>
    <row r="523" spans="1:35">
      <c r="A523" s="234" t="str">
        <f ca="1">IF(Table1[[#This Row],[No. Invoice :]]="","",ROW())</f>
        <v/>
      </c>
      <c r="B523" s="234" t="str">
        <f ca="1">IF(Table1[[#This Row],[Column3]]="","",B$1+COUNT(INDIRECT("B$2:B"&amp;ROW()-1)))</f>
        <v/>
      </c>
      <c r="C523" s="235" t="str">
        <f>IF(Table1[[#This Row],[Column2]]="","",Table1[[#This Row],[Column2]]+C$1-1)</f>
        <v/>
      </c>
      <c r="E523" s="236"/>
      <c r="F523" s="234"/>
      <c r="G523" s="234" t="str">
        <f ca="1">IF(Table1[[#This Row],[h_No. Invoice :]]="","",CONCATENATE("AM"," ",Table1[[#This Row],[h_No. Invoice :]]))</f>
        <v/>
      </c>
      <c r="H523" s="234" t="str">
        <f>IF(Table1[[#This Row],[Column5]]="","",INDEX(Table2[Column1],MATCH(Table1[[#This Row],[Column5]],Table2[a],0)))</f>
        <v/>
      </c>
      <c r="I523" s="234" t="str">
        <f>IF(Table1[[#This Row],[Column3]]=0,"",CONCATENATE(UPPER(Table1[[#This Row],[Column3]])," ",Table1[[#This Row],[Column4]]))</f>
        <v xml:space="preserve"> </v>
      </c>
      <c r="J523" s="234" t="str">
        <f>IF(Table1[[#This Row],[Column5]]="","",INDEX(Table2[e],IF(Table1[[#This Row],[Column5]]="","",MATCH(Table1[[#This Row],[Column5]],Table2[a],0)),))</f>
        <v/>
      </c>
      <c r="K523" s="234"/>
      <c r="L523" s="234"/>
      <c r="O523" s="234" t="str">
        <f>IF(Table1[[#This Row],[h_Item Description]]="","",INDEX([1]!db[NB PAJAK],MATCH(Table1[[#This Row],[h_Item Description]],[1]!db[kode],0)))</f>
        <v/>
      </c>
      <c r="Q523" s="237"/>
      <c r="R523" s="238"/>
      <c r="S523" s="238"/>
      <c r="T523" s="237" t="str">
        <f>Table1[[#This Row],[h_hargasetelahdiskon]]</f>
        <v/>
      </c>
      <c r="V523" s="234"/>
      <c r="W523" s="234" t="str">
        <f ca="1">IF(Table1[[#This Row],[Column12]]="","",IF(Table1[[#This Row],[//]]="",INDIRECT(ADDRESS(ROW()-1,COLUMN())),Table1[[#This Row],[//]]))</f>
        <v/>
      </c>
      <c r="X523" s="234" t="str">
        <f ca="1">IF(Table1[[#This Row],[h_id]]="","",COUNTIF(Table1[h_id],Table1[[#This Row],[h_id]]))</f>
        <v/>
      </c>
      <c r="Y523" s="237" t="str">
        <f>IF(Table1[[#This Row],[Column12]]="","",Table1[[#This Row],[Qty]]*Table1[[#This Row],[Column13]])</f>
        <v/>
      </c>
      <c r="Z523" s="237" t="str">
        <f>IF(Table1[[#This Row],[h_hargasebelumdiskon]]="","",IF(Table1[[#This Row],[Column14]]="",0,Table1[[#This Row],[h_hargasebelumdiskon]]*Table1[[#This Row],[Column14]]))</f>
        <v/>
      </c>
      <c r="AA523" s="237" t="str">
        <f>IF(Table1[[#This Row],[h_hargasebelumdiskon]]="","",IF(Table1[[#This Row],[Column15]]="",0,(Table1[[#This Row],[h_hargasebelumdiskon]]-Table1[[#This Row],[h_disc 1]])*Table1[[#This Row],[Column15]]))</f>
        <v/>
      </c>
      <c r="AB523" s="237" t="str">
        <f>IF(Table1[[#This Row],[Column12]]="","",Table1[[#This Row],[h_disc 1]]+Table1[[#This Row],[h_disc 2]])</f>
        <v/>
      </c>
      <c r="AC523" s="237" t="str">
        <f>IF(Table1[[#This Row],[Column12]]="","",Table1[[#This Row],[h_hargasebelumdiskon]]-Table1[[#This Row],[h_diskon]])</f>
        <v/>
      </c>
      <c r="AD523" s="237" t="str">
        <f ca="1">IF(Table1[[#This Row],[//]]="","",SUMIF(Table1[h_id],Table1[[#This Row],[h_id]],Table1[h_hargasetelahdiskon]))</f>
        <v/>
      </c>
      <c r="AF523" s="237" t="str">
        <f>Table1[[#This Row],[Column12]]&amp;Table1[[#This Row],[Unit]]&amp;Table1[[#This Row],[Column13]]</f>
        <v/>
      </c>
      <c r="AG523"/>
      <c r="AH523"/>
      <c r="AI523"/>
    </row>
    <row r="524" spans="1:35">
      <c r="A524" s="234" t="str">
        <f ca="1">IF(Table1[[#This Row],[No. Invoice :]]="","",ROW())</f>
        <v/>
      </c>
      <c r="B524" s="234" t="str">
        <f ca="1">IF(Table1[[#This Row],[Column3]]="","",B$1+COUNT(INDIRECT("B$2:B"&amp;ROW()-1)))</f>
        <v/>
      </c>
      <c r="C524" s="235" t="str">
        <f>IF(Table1[[#This Row],[Column2]]="","",Table1[[#This Row],[Column2]]+C$1-1)</f>
        <v/>
      </c>
      <c r="E524" s="236"/>
      <c r="F524" s="234"/>
      <c r="G524" s="234" t="str">
        <f ca="1">IF(Table1[[#This Row],[h_No. Invoice :]]="","",CONCATENATE("AM"," ",Table1[[#This Row],[h_No. Invoice :]]))</f>
        <v/>
      </c>
      <c r="H524" s="234" t="str">
        <f>IF(Table1[[#This Row],[Column5]]="","",INDEX(Table2[Column1],MATCH(Table1[[#This Row],[Column5]],Table2[a],0)))</f>
        <v/>
      </c>
      <c r="I524" s="234" t="str">
        <f>IF(Table1[[#This Row],[Column3]]=0,"",CONCATENATE(UPPER(Table1[[#This Row],[Column3]])," ",Table1[[#This Row],[Column4]]))</f>
        <v xml:space="preserve"> </v>
      </c>
      <c r="J524" s="234" t="str">
        <f>IF(Table1[[#This Row],[Column5]]="","",INDEX(Table2[e],IF(Table1[[#This Row],[Column5]]="","",MATCH(Table1[[#This Row],[Column5]],Table2[a],0)),))</f>
        <v/>
      </c>
      <c r="K524" s="234"/>
      <c r="L524" s="234"/>
      <c r="O524" s="234" t="str">
        <f>IF(Table1[[#This Row],[h_Item Description]]="","",INDEX([1]!db[NB PAJAK],MATCH(Table1[[#This Row],[h_Item Description]],[1]!db[kode],0)))</f>
        <v/>
      </c>
      <c r="Q524" s="237"/>
      <c r="R524" s="238"/>
      <c r="S524" s="238"/>
      <c r="T524" s="237" t="str">
        <f>Table1[[#This Row],[h_hargasetelahdiskon]]</f>
        <v/>
      </c>
      <c r="V524" s="234"/>
      <c r="W524" s="234" t="str">
        <f ca="1">IF(Table1[[#This Row],[Column12]]="","",IF(Table1[[#This Row],[//]]="",INDIRECT(ADDRESS(ROW()-1,COLUMN())),Table1[[#This Row],[//]]))</f>
        <v/>
      </c>
      <c r="X524" s="234" t="str">
        <f ca="1">IF(Table1[[#This Row],[h_id]]="","",COUNTIF(Table1[h_id],Table1[[#This Row],[h_id]]))</f>
        <v/>
      </c>
      <c r="Y524" s="237" t="str">
        <f>IF(Table1[[#This Row],[Column12]]="","",Table1[[#This Row],[Qty]]*Table1[[#This Row],[Column13]])</f>
        <v/>
      </c>
      <c r="Z524" s="237" t="str">
        <f>IF(Table1[[#This Row],[h_hargasebelumdiskon]]="","",IF(Table1[[#This Row],[Column14]]="",0,Table1[[#This Row],[h_hargasebelumdiskon]]*Table1[[#This Row],[Column14]]))</f>
        <v/>
      </c>
      <c r="AA524" s="237" t="str">
        <f>IF(Table1[[#This Row],[h_hargasebelumdiskon]]="","",IF(Table1[[#This Row],[Column15]]="",0,(Table1[[#This Row],[h_hargasebelumdiskon]]-Table1[[#This Row],[h_disc 1]])*Table1[[#This Row],[Column15]]))</f>
        <v/>
      </c>
      <c r="AB524" s="237" t="str">
        <f>IF(Table1[[#This Row],[Column12]]="","",Table1[[#This Row],[h_disc 1]]+Table1[[#This Row],[h_disc 2]])</f>
        <v/>
      </c>
      <c r="AC524" s="237" t="str">
        <f>IF(Table1[[#This Row],[Column12]]="","",Table1[[#This Row],[h_hargasebelumdiskon]]-Table1[[#This Row],[h_diskon]])</f>
        <v/>
      </c>
      <c r="AD524" s="237" t="str">
        <f ca="1">IF(Table1[[#This Row],[//]]="","",SUMIF(Table1[h_id],Table1[[#This Row],[h_id]],Table1[h_hargasetelahdiskon]))</f>
        <v/>
      </c>
      <c r="AF524" s="237" t="str">
        <f>Table1[[#This Row],[Column12]]&amp;Table1[[#This Row],[Unit]]&amp;Table1[[#This Row],[Column13]]</f>
        <v/>
      </c>
      <c r="AG524"/>
      <c r="AH524"/>
      <c r="AI524"/>
    </row>
    <row r="525" spans="1:35">
      <c r="A525" s="234" t="str">
        <f ca="1">IF(Table1[[#This Row],[No. Invoice :]]="","",ROW())</f>
        <v/>
      </c>
      <c r="B525" s="234" t="str">
        <f ca="1">IF(Table1[[#This Row],[Column3]]="","",B$1+COUNT(INDIRECT("B$2:B"&amp;ROW()-1)))</f>
        <v/>
      </c>
      <c r="C525" s="235" t="str">
        <f>IF(Table1[[#This Row],[Column2]]="","",Table1[[#This Row],[Column2]]+C$1-1)</f>
        <v/>
      </c>
      <c r="E525" s="236"/>
      <c r="F525" s="234"/>
      <c r="G525" s="234" t="str">
        <f ca="1">IF(Table1[[#This Row],[h_No. Invoice :]]="","",CONCATENATE("AM"," ",Table1[[#This Row],[h_No. Invoice :]]))</f>
        <v/>
      </c>
      <c r="H525" s="234" t="str">
        <f>IF(Table1[[#This Row],[Column5]]="","",INDEX(Table2[Column1],MATCH(Table1[[#This Row],[Column5]],Table2[a],0)))</f>
        <v/>
      </c>
      <c r="I525" s="234" t="str">
        <f>IF(Table1[[#This Row],[Column3]]=0,"",CONCATENATE(UPPER(Table1[[#This Row],[Column3]])," ",Table1[[#This Row],[Column4]]))</f>
        <v xml:space="preserve"> </v>
      </c>
      <c r="J525" s="234" t="str">
        <f>IF(Table1[[#This Row],[Column5]]="","",INDEX(Table2[e],IF(Table1[[#This Row],[Column5]]="","",MATCH(Table1[[#This Row],[Column5]],Table2[a],0)),))</f>
        <v/>
      </c>
      <c r="K525" s="234"/>
      <c r="L525" s="234"/>
      <c r="O525" s="234" t="str">
        <f>IF(Table1[[#This Row],[h_Item Description]]="","",INDEX([1]!db[NB PAJAK],MATCH(Table1[[#This Row],[h_Item Description]],[1]!db[kode],0)))</f>
        <v/>
      </c>
      <c r="Q525" s="237"/>
      <c r="R525" s="238"/>
      <c r="S525" s="238"/>
      <c r="T525" s="237" t="str">
        <f>Table1[[#This Row],[h_hargasetelahdiskon]]</f>
        <v/>
      </c>
      <c r="V525" s="234"/>
      <c r="W525" s="234" t="str">
        <f ca="1">IF(Table1[[#This Row],[Column12]]="","",IF(Table1[[#This Row],[//]]="",INDIRECT(ADDRESS(ROW()-1,COLUMN())),Table1[[#This Row],[//]]))</f>
        <v/>
      </c>
      <c r="X525" s="234" t="str">
        <f ca="1">IF(Table1[[#This Row],[h_id]]="","",COUNTIF(Table1[h_id],Table1[[#This Row],[h_id]]))</f>
        <v/>
      </c>
      <c r="Y525" s="237" t="str">
        <f>IF(Table1[[#This Row],[Column12]]="","",Table1[[#This Row],[Qty]]*Table1[[#This Row],[Column13]])</f>
        <v/>
      </c>
      <c r="Z525" s="237" t="str">
        <f>IF(Table1[[#This Row],[h_hargasebelumdiskon]]="","",IF(Table1[[#This Row],[Column14]]="",0,Table1[[#This Row],[h_hargasebelumdiskon]]*Table1[[#This Row],[Column14]]))</f>
        <v/>
      </c>
      <c r="AA525" s="237" t="str">
        <f>IF(Table1[[#This Row],[h_hargasebelumdiskon]]="","",IF(Table1[[#This Row],[Column15]]="",0,(Table1[[#This Row],[h_hargasebelumdiskon]]-Table1[[#This Row],[h_disc 1]])*Table1[[#This Row],[Column15]]))</f>
        <v/>
      </c>
      <c r="AB525" s="237" t="str">
        <f>IF(Table1[[#This Row],[Column12]]="","",Table1[[#This Row],[h_disc 1]]+Table1[[#This Row],[h_disc 2]])</f>
        <v/>
      </c>
      <c r="AC525" s="237" t="str">
        <f>IF(Table1[[#This Row],[Column12]]="","",Table1[[#This Row],[h_hargasebelumdiskon]]-Table1[[#This Row],[h_diskon]])</f>
        <v/>
      </c>
      <c r="AD525" s="237" t="str">
        <f ca="1">IF(Table1[[#This Row],[//]]="","",SUMIF(Table1[h_id],Table1[[#This Row],[h_id]],Table1[h_hargasetelahdiskon]))</f>
        <v/>
      </c>
      <c r="AF525" s="237" t="str">
        <f>Table1[[#This Row],[Column12]]&amp;Table1[[#This Row],[Unit]]&amp;Table1[[#This Row],[Column13]]</f>
        <v/>
      </c>
      <c r="AG525"/>
      <c r="AH525"/>
      <c r="AI525"/>
    </row>
    <row r="526" spans="1:35">
      <c r="A526" s="234" t="str">
        <f ca="1">IF(Table1[[#This Row],[No. Invoice :]]="","",ROW())</f>
        <v/>
      </c>
      <c r="B526" s="234" t="str">
        <f ca="1">IF(Table1[[#This Row],[Column3]]="","",B$1+COUNT(INDIRECT("B$2:B"&amp;ROW()-1)))</f>
        <v/>
      </c>
      <c r="C526" s="235" t="str">
        <f>IF(Table1[[#This Row],[Column2]]="","",Table1[[#This Row],[Column2]]+C$1-1)</f>
        <v/>
      </c>
      <c r="E526" s="236"/>
      <c r="F526" s="234"/>
      <c r="G526" s="234" t="str">
        <f ca="1">IF(Table1[[#This Row],[h_No. Invoice :]]="","",CONCATENATE("AM"," ",Table1[[#This Row],[h_No. Invoice :]]))</f>
        <v/>
      </c>
      <c r="H526" s="234" t="str">
        <f>IF(Table1[[#This Row],[Column5]]="","",INDEX(Table2[Column1],MATCH(Table1[[#This Row],[Column5]],Table2[a],0)))</f>
        <v/>
      </c>
      <c r="I526" s="234" t="str">
        <f>IF(Table1[[#This Row],[Column3]]=0,"",CONCATENATE(UPPER(Table1[[#This Row],[Column3]])," ",Table1[[#This Row],[Column4]]))</f>
        <v xml:space="preserve"> </v>
      </c>
      <c r="J526" s="234" t="str">
        <f>IF(Table1[[#This Row],[Column5]]="","",INDEX(Table2[e],IF(Table1[[#This Row],[Column5]]="","",MATCH(Table1[[#This Row],[Column5]],Table2[a],0)),))</f>
        <v/>
      </c>
      <c r="K526" s="234"/>
      <c r="L526" s="234"/>
      <c r="O526" s="234" t="str">
        <f>IF(Table1[[#This Row],[h_Item Description]]="","",INDEX([1]!db[NB PAJAK],MATCH(Table1[[#This Row],[h_Item Description]],[1]!db[kode],0)))</f>
        <v/>
      </c>
      <c r="Q526" s="237"/>
      <c r="R526" s="238"/>
      <c r="S526" s="238"/>
      <c r="T526" s="237" t="str">
        <f>Table1[[#This Row],[h_hargasetelahdiskon]]</f>
        <v/>
      </c>
      <c r="V526" s="234"/>
      <c r="W526" s="234" t="str">
        <f ca="1">IF(Table1[[#This Row],[Column12]]="","",IF(Table1[[#This Row],[//]]="",INDIRECT(ADDRESS(ROW()-1,COLUMN())),Table1[[#This Row],[//]]))</f>
        <v/>
      </c>
      <c r="X526" s="234" t="str">
        <f ca="1">IF(Table1[[#This Row],[h_id]]="","",COUNTIF(Table1[h_id],Table1[[#This Row],[h_id]]))</f>
        <v/>
      </c>
      <c r="Y526" s="237" t="str">
        <f>IF(Table1[[#This Row],[Column12]]="","",Table1[[#This Row],[Qty]]*Table1[[#This Row],[Column13]])</f>
        <v/>
      </c>
      <c r="Z526" s="237" t="str">
        <f>IF(Table1[[#This Row],[h_hargasebelumdiskon]]="","",IF(Table1[[#This Row],[Column14]]="",0,Table1[[#This Row],[h_hargasebelumdiskon]]*Table1[[#This Row],[Column14]]))</f>
        <v/>
      </c>
      <c r="AA526" s="237" t="str">
        <f>IF(Table1[[#This Row],[h_hargasebelumdiskon]]="","",IF(Table1[[#This Row],[Column15]]="",0,(Table1[[#This Row],[h_hargasebelumdiskon]]-Table1[[#This Row],[h_disc 1]])*Table1[[#This Row],[Column15]]))</f>
        <v/>
      </c>
      <c r="AB526" s="237" t="str">
        <f>IF(Table1[[#This Row],[Column12]]="","",Table1[[#This Row],[h_disc 1]]+Table1[[#This Row],[h_disc 2]])</f>
        <v/>
      </c>
      <c r="AC526" s="237" t="str">
        <f>IF(Table1[[#This Row],[Column12]]="","",Table1[[#This Row],[h_hargasebelumdiskon]]-Table1[[#This Row],[h_diskon]])</f>
        <v/>
      </c>
      <c r="AD526" s="237" t="str">
        <f ca="1">IF(Table1[[#This Row],[//]]="","",SUMIF(Table1[h_id],Table1[[#This Row],[h_id]],Table1[h_hargasetelahdiskon]))</f>
        <v/>
      </c>
      <c r="AF526" s="237" t="str">
        <f>Table1[[#This Row],[Column12]]&amp;Table1[[#This Row],[Unit]]&amp;Table1[[#This Row],[Column13]]</f>
        <v/>
      </c>
      <c r="AG526"/>
      <c r="AH526"/>
      <c r="AI526"/>
    </row>
    <row r="527" spans="1:35">
      <c r="A527" s="234" t="str">
        <f ca="1">IF(Table1[[#This Row],[No. Invoice :]]="","",ROW())</f>
        <v/>
      </c>
      <c r="B527" s="416" t="str">
        <f ca="1">IF(Table1[[#This Row],[Column3]]="","",B$1+COUNT(INDIRECT("B$2:B"&amp;ROW()-1)))</f>
        <v/>
      </c>
      <c r="C527" s="235" t="str">
        <f>IF(Table1[[#This Row],[Column2]]="","",Table1[[#This Row],[Column2]]+C$1-1)</f>
        <v/>
      </c>
      <c r="D527" s="417"/>
      <c r="E527" s="418"/>
      <c r="F527" s="416"/>
      <c r="G527" s="234" t="str">
        <f ca="1">IF(Table1[[#This Row],[h_No. Invoice :]]="","",CONCATENATE("AM"," ",Table1[[#This Row],[h_No. Invoice :]]))</f>
        <v/>
      </c>
      <c r="H527" s="416" t="str">
        <f>IF(Table1[[#This Row],[Column5]]="","",INDEX(Table2[Column1],MATCH(Table1[[#This Row],[Column5]],Table2[a],0)))</f>
        <v/>
      </c>
      <c r="I527" s="234" t="str">
        <f>IF(Table1[[#This Row],[Column3]]=0,"",CONCATENATE(UPPER(Table1[[#This Row],[Column3]])," ",Table1[[#This Row],[Column4]]))</f>
        <v xml:space="preserve"> </v>
      </c>
      <c r="J527" s="234" t="str">
        <f>IF(Table1[[#This Row],[Column5]]="","",INDEX(Table2[e],IF(Table1[[#This Row],[Column5]]="","",MATCH(Table1[[#This Row],[Column5]],Table2[a],0)),))</f>
        <v/>
      </c>
      <c r="K527" s="234"/>
      <c r="L527" s="234"/>
      <c r="N527" s="416"/>
      <c r="O527" s="416" t="str">
        <f>IF(Table1[[#This Row],[h_Item Description]]="","",INDEX([1]!db[NB PAJAK],MATCH(Table1[[#This Row],[h_Item Description]],[1]!db[kode],0)))</f>
        <v/>
      </c>
      <c r="Q527" s="237"/>
      <c r="R527" s="238"/>
      <c r="S527" s="238"/>
      <c r="T527" s="419" t="str">
        <f>Table1[[#This Row],[h_hargasetelahdiskon]]</f>
        <v/>
      </c>
      <c r="V527" s="234"/>
      <c r="W527" s="234" t="str">
        <f ca="1">IF(Table1[[#This Row],[Column12]]="","",IF(Table1[[#This Row],[//]]="",INDIRECT(ADDRESS(ROW()-1,COLUMN())),Table1[[#This Row],[//]]))</f>
        <v/>
      </c>
      <c r="X527" s="234" t="str">
        <f ca="1">IF(Table1[[#This Row],[h_id]]="","",COUNTIF(Table1[h_id],Table1[[#This Row],[h_id]]))</f>
        <v/>
      </c>
      <c r="Y527" s="237" t="str">
        <f>IF(Table1[[#This Row],[Column12]]="","",Table1[[#This Row],[Qty]]*Table1[[#This Row],[Column13]])</f>
        <v/>
      </c>
      <c r="Z527" s="419" t="str">
        <f>IF(Table1[[#This Row],[h_hargasebelumdiskon]]="","",IF(Table1[[#This Row],[Column14]]="",0,Table1[[#This Row],[h_hargasebelumdiskon]]*Table1[[#This Row],[Column14]]))</f>
        <v/>
      </c>
      <c r="AA527" s="419" t="str">
        <f>IF(Table1[[#This Row],[h_hargasebelumdiskon]]="","",IF(Table1[[#This Row],[Column15]]="",0,(Table1[[#This Row],[h_hargasebelumdiskon]]-Table1[[#This Row],[h_disc 1]])*Table1[[#This Row],[Column15]]))</f>
        <v/>
      </c>
      <c r="AB527" s="237" t="str">
        <f>IF(Table1[[#This Row],[Column12]]="","",Table1[[#This Row],[h_disc 1]]+Table1[[#This Row],[h_disc 2]])</f>
        <v/>
      </c>
      <c r="AC527" s="237" t="str">
        <f>IF(Table1[[#This Row],[Column12]]="","",Table1[[#This Row],[h_hargasebelumdiskon]]-Table1[[#This Row],[h_diskon]])</f>
        <v/>
      </c>
      <c r="AD527" s="237" t="str">
        <f ca="1">IF(Table1[[#This Row],[//]]="","",SUMIF(Table1[h_id],Table1[[#This Row],[h_id]],Table1[h_hargasetelahdiskon]))</f>
        <v/>
      </c>
      <c r="AF527" s="237" t="str">
        <f>Table1[[#This Row],[Column12]]&amp;Table1[[#This Row],[Unit]]&amp;Table1[[#This Row],[Column13]]</f>
        <v/>
      </c>
      <c r="AG527"/>
      <c r="AH527"/>
      <c r="AI527"/>
    </row>
    <row r="528" spans="1:35">
      <c r="A528" s="234" t="str">
        <f ca="1">IF(Table1[[#This Row],[No. Invoice :]]="","",ROW())</f>
        <v/>
      </c>
      <c r="B528" s="234" t="str">
        <f ca="1">IF(Table1[[#This Row],[Column3]]="","",B$1+COUNT(INDIRECT("B$2:B"&amp;ROW()-1)))</f>
        <v/>
      </c>
      <c r="C528" s="235" t="str">
        <f>IF(Table1[[#This Row],[Column2]]="","",Table1[[#This Row],[Column2]]+C$1-1)</f>
        <v/>
      </c>
      <c r="E528" s="236"/>
      <c r="F528" s="234"/>
      <c r="G528" s="234" t="str">
        <f ca="1">IF(Table1[[#This Row],[h_No. Invoice :]]="","",CONCATENATE("AM"," ",Table1[[#This Row],[h_No. Invoice :]]))</f>
        <v/>
      </c>
      <c r="H528" s="234" t="str">
        <f>IF(Table1[[#This Row],[Column5]]="","",INDEX(Table2[Column1],MATCH(Table1[[#This Row],[Column5]],Table2[a],0)))</f>
        <v/>
      </c>
      <c r="I528" s="234" t="str">
        <f>IF(Table1[[#This Row],[Column3]]=0,"",CONCATENATE(UPPER(Table1[[#This Row],[Column3]])," ",Table1[[#This Row],[Column4]]))</f>
        <v xml:space="preserve"> </v>
      </c>
      <c r="J528" s="234" t="str">
        <f>IF(Table1[[#This Row],[Column5]]="","",INDEX(Table2[e],IF(Table1[[#This Row],[Column5]]="","",MATCH(Table1[[#This Row],[Column5]],Table2[a],0)),))</f>
        <v/>
      </c>
      <c r="K528" s="234"/>
      <c r="L528" s="234"/>
      <c r="O528" s="234" t="str">
        <f>IF(Table1[[#This Row],[h_Item Description]]="","",INDEX([1]!db[NB PAJAK],MATCH(Table1[[#This Row],[h_Item Description]],[1]!db[kode],0)))</f>
        <v/>
      </c>
      <c r="Q528" s="237"/>
      <c r="R528" s="238"/>
      <c r="S528" s="238"/>
      <c r="T528" s="237" t="str">
        <f>Table1[[#This Row],[h_hargasetelahdiskon]]</f>
        <v/>
      </c>
      <c r="V528" s="234"/>
      <c r="W528" s="234" t="str">
        <f ca="1">IF(Table1[[#This Row],[Column12]]="","",IF(Table1[[#This Row],[//]]="",INDIRECT(ADDRESS(ROW()-1,COLUMN())),Table1[[#This Row],[//]]))</f>
        <v/>
      </c>
      <c r="X528" s="234" t="str">
        <f ca="1">IF(Table1[[#This Row],[h_id]]="","",COUNTIF(Table1[h_id],Table1[[#This Row],[h_id]]))</f>
        <v/>
      </c>
      <c r="Y528" s="237" t="str">
        <f>IF(Table1[[#This Row],[Column12]]="","",Table1[[#This Row],[Qty]]*Table1[[#This Row],[Column13]])</f>
        <v/>
      </c>
      <c r="Z528" s="237" t="str">
        <f>IF(Table1[[#This Row],[h_hargasebelumdiskon]]="","",IF(Table1[[#This Row],[Column14]]="",0,Table1[[#This Row],[h_hargasebelumdiskon]]*Table1[[#This Row],[Column14]]))</f>
        <v/>
      </c>
      <c r="AA528" s="237" t="str">
        <f>IF(Table1[[#This Row],[h_hargasebelumdiskon]]="","",IF(Table1[[#This Row],[Column15]]="",0,(Table1[[#This Row],[h_hargasebelumdiskon]]-Table1[[#This Row],[h_disc 1]])*Table1[[#This Row],[Column15]]))</f>
        <v/>
      </c>
      <c r="AB528" s="237" t="str">
        <f>IF(Table1[[#This Row],[Column12]]="","",Table1[[#This Row],[h_disc 1]]+Table1[[#This Row],[h_disc 2]])</f>
        <v/>
      </c>
      <c r="AC528" s="237" t="str">
        <f>IF(Table1[[#This Row],[Column12]]="","",Table1[[#This Row],[h_hargasebelumdiskon]]-Table1[[#This Row],[h_diskon]])</f>
        <v/>
      </c>
      <c r="AD528" s="237" t="str">
        <f ca="1">IF(Table1[[#This Row],[//]]="","",SUMIF(Table1[h_id],Table1[[#This Row],[h_id]],Table1[h_hargasetelahdiskon]))</f>
        <v/>
      </c>
      <c r="AF528" s="237" t="str">
        <f>Table1[[#This Row],[Column12]]&amp;Table1[[#This Row],[Unit]]&amp;Table1[[#This Row],[Column13]]</f>
        <v/>
      </c>
      <c r="AG528"/>
      <c r="AH528"/>
      <c r="AI528"/>
    </row>
    <row r="529" spans="1:35">
      <c r="A529" s="234" t="str">
        <f ca="1">IF(Table1[[#This Row],[No. Invoice :]]="","",ROW())</f>
        <v/>
      </c>
      <c r="B529" s="234" t="str">
        <f ca="1">IF(Table1[[#This Row],[Column3]]="","",B$1+COUNT(INDIRECT("B$2:B"&amp;ROW()-1)))</f>
        <v/>
      </c>
      <c r="C529" s="235" t="str">
        <f>IF(Table1[[#This Row],[Column2]]="","",Table1[[#This Row],[Column2]]+C$1-1)</f>
        <v/>
      </c>
      <c r="E529" s="236"/>
      <c r="F529" s="234"/>
      <c r="G529" s="234" t="str">
        <f ca="1">IF(Table1[[#This Row],[h_No. Invoice :]]="","",CONCATENATE("AM"," ",Table1[[#This Row],[h_No. Invoice :]]))</f>
        <v/>
      </c>
      <c r="H529" s="234" t="str">
        <f>IF(Table1[[#This Row],[Column5]]="","",INDEX(Table2[Column1],MATCH(Table1[[#This Row],[Column5]],Table2[a],0)))</f>
        <v/>
      </c>
      <c r="I529" s="234" t="str">
        <f>IF(Table1[[#This Row],[Column3]]=0,"",CONCATENATE(UPPER(Table1[[#This Row],[Column3]])," ",Table1[[#This Row],[Column4]]))</f>
        <v xml:space="preserve"> </v>
      </c>
      <c r="J529" s="234" t="str">
        <f>IF(Table1[[#This Row],[Column5]]="","",INDEX(Table2[e],IF(Table1[[#This Row],[Column5]]="","",MATCH(Table1[[#This Row],[Column5]],Table2[a],0)),))</f>
        <v/>
      </c>
      <c r="K529" s="234"/>
      <c r="L529" s="234"/>
      <c r="O529" s="234" t="str">
        <f>IF(Table1[[#This Row],[h_Item Description]]="","",INDEX([1]!db[NB PAJAK],MATCH(Table1[[#This Row],[h_Item Description]],[1]!db[kode],0)))</f>
        <v/>
      </c>
      <c r="Q529" s="237"/>
      <c r="R529" s="238"/>
      <c r="S529" s="238"/>
      <c r="T529" s="237" t="str">
        <f>Table1[[#This Row],[h_hargasetelahdiskon]]</f>
        <v/>
      </c>
      <c r="V529" s="234"/>
      <c r="W529" s="234" t="str">
        <f ca="1">IF(Table1[[#This Row],[Column12]]="","",IF(Table1[[#This Row],[//]]="",INDIRECT(ADDRESS(ROW()-1,COLUMN())),Table1[[#This Row],[//]]))</f>
        <v/>
      </c>
      <c r="X529" s="234" t="str">
        <f ca="1">IF(Table1[[#This Row],[h_id]]="","",COUNTIF(Table1[h_id],Table1[[#This Row],[h_id]]))</f>
        <v/>
      </c>
      <c r="Y529" s="237" t="str">
        <f>IF(Table1[[#This Row],[Column12]]="","",Table1[[#This Row],[Qty]]*Table1[[#This Row],[Column13]])</f>
        <v/>
      </c>
      <c r="Z529" s="237" t="str">
        <f>IF(Table1[[#This Row],[h_hargasebelumdiskon]]="","",IF(Table1[[#This Row],[Column14]]="",0,Table1[[#This Row],[h_hargasebelumdiskon]]*Table1[[#This Row],[Column14]]))</f>
        <v/>
      </c>
      <c r="AA529" s="237" t="str">
        <f>IF(Table1[[#This Row],[h_hargasebelumdiskon]]="","",IF(Table1[[#This Row],[Column15]]="",0,(Table1[[#This Row],[h_hargasebelumdiskon]]-Table1[[#This Row],[h_disc 1]])*Table1[[#This Row],[Column15]]))</f>
        <v/>
      </c>
      <c r="AB529" s="237" t="str">
        <f>IF(Table1[[#This Row],[Column12]]="","",Table1[[#This Row],[h_disc 1]]+Table1[[#This Row],[h_disc 2]])</f>
        <v/>
      </c>
      <c r="AC529" s="237" t="str">
        <f>IF(Table1[[#This Row],[Column12]]="","",Table1[[#This Row],[h_hargasebelumdiskon]]-Table1[[#This Row],[h_diskon]])</f>
        <v/>
      </c>
      <c r="AD529" s="237" t="str">
        <f ca="1">IF(Table1[[#This Row],[//]]="","",SUMIF(Table1[h_id],Table1[[#This Row],[h_id]],Table1[h_hargasetelahdiskon]))</f>
        <v/>
      </c>
      <c r="AF529" s="237" t="str">
        <f>Table1[[#This Row],[Column12]]&amp;Table1[[#This Row],[Unit]]&amp;Table1[[#This Row],[Column13]]</f>
        <v/>
      </c>
      <c r="AG529"/>
      <c r="AH529"/>
      <c r="AI529"/>
    </row>
    <row r="530" spans="1:35">
      <c r="A530" s="234" t="str">
        <f ca="1">IF(Table1[[#This Row],[No. Invoice :]]="","",ROW())</f>
        <v/>
      </c>
      <c r="B530" s="234" t="str">
        <f ca="1">IF(Table1[[#This Row],[Column3]]="","",B$1+COUNT(INDIRECT("B$2:B"&amp;ROW()-1)))</f>
        <v/>
      </c>
      <c r="C530" s="235" t="str">
        <f>IF(Table1[[#This Row],[Column2]]="","",Table1[[#This Row],[Column2]]+C$1-1)</f>
        <v/>
      </c>
      <c r="E530" s="236"/>
      <c r="F530" s="234"/>
      <c r="G530" s="234" t="str">
        <f ca="1">IF(Table1[[#This Row],[h_No. Invoice :]]="","",CONCATENATE("AM"," ",Table1[[#This Row],[h_No. Invoice :]]))</f>
        <v/>
      </c>
      <c r="H530" s="234" t="str">
        <f>IF(Table1[[#This Row],[Column5]]="","",INDEX(Table2[Column1],MATCH(Table1[[#This Row],[Column5]],Table2[a],0)))</f>
        <v/>
      </c>
      <c r="I530" s="234" t="str">
        <f>IF(Table1[[#This Row],[Column3]]=0,"",CONCATENATE(UPPER(Table1[[#This Row],[Column3]])," ",Table1[[#This Row],[Column4]]))</f>
        <v xml:space="preserve"> </v>
      </c>
      <c r="J530" s="234" t="str">
        <f>IF(Table1[[#This Row],[Column5]]="","",INDEX(Table2[e],IF(Table1[[#This Row],[Column5]]="","",MATCH(Table1[[#This Row],[Column5]],Table2[a],0)),))</f>
        <v/>
      </c>
      <c r="K530" s="234"/>
      <c r="L530" s="234"/>
      <c r="O530" s="234" t="str">
        <f>IF(Table1[[#This Row],[h_Item Description]]="","",INDEX([1]!db[NB PAJAK],MATCH(Table1[[#This Row],[h_Item Description]],[1]!db[kode],0)))</f>
        <v/>
      </c>
      <c r="Q530" s="237"/>
      <c r="R530" s="238"/>
      <c r="S530" s="238"/>
      <c r="T530" s="237" t="str">
        <f>Table1[[#This Row],[h_hargasetelahdiskon]]</f>
        <v/>
      </c>
      <c r="V530" s="234"/>
      <c r="W530" s="234" t="str">
        <f ca="1">IF(Table1[[#This Row],[Column12]]="","",IF(Table1[[#This Row],[//]]="",INDIRECT(ADDRESS(ROW()-1,COLUMN())),Table1[[#This Row],[//]]))</f>
        <v/>
      </c>
      <c r="X530" s="234" t="str">
        <f ca="1">IF(Table1[[#This Row],[h_id]]="","",COUNTIF(Table1[h_id],Table1[[#This Row],[h_id]]))</f>
        <v/>
      </c>
      <c r="Y530" s="237" t="str">
        <f>IF(Table1[[#This Row],[Column12]]="","",Table1[[#This Row],[Qty]]*Table1[[#This Row],[Column13]])</f>
        <v/>
      </c>
      <c r="Z530" s="237" t="str">
        <f>IF(Table1[[#This Row],[h_hargasebelumdiskon]]="","",IF(Table1[[#This Row],[Column14]]="",0,Table1[[#This Row],[h_hargasebelumdiskon]]*Table1[[#This Row],[Column14]]))</f>
        <v/>
      </c>
      <c r="AA530" s="237" t="str">
        <f>IF(Table1[[#This Row],[h_hargasebelumdiskon]]="","",IF(Table1[[#This Row],[Column15]]="",0,(Table1[[#This Row],[h_hargasebelumdiskon]]-Table1[[#This Row],[h_disc 1]])*Table1[[#This Row],[Column15]]))</f>
        <v/>
      </c>
      <c r="AB530" s="237" t="str">
        <f>IF(Table1[[#This Row],[Column12]]="","",Table1[[#This Row],[h_disc 1]]+Table1[[#This Row],[h_disc 2]])</f>
        <v/>
      </c>
      <c r="AC530" s="237" t="str">
        <f>IF(Table1[[#This Row],[Column12]]="","",Table1[[#This Row],[h_hargasebelumdiskon]]-Table1[[#This Row],[h_diskon]])</f>
        <v/>
      </c>
      <c r="AD530" s="237" t="str">
        <f ca="1">IF(Table1[[#This Row],[//]]="","",SUMIF(Table1[h_id],Table1[[#This Row],[h_id]],Table1[h_hargasetelahdiskon]))</f>
        <v/>
      </c>
      <c r="AF530" s="237" t="str">
        <f>Table1[[#This Row],[Column12]]&amp;Table1[[#This Row],[Unit]]&amp;Table1[[#This Row],[Column13]]</f>
        <v/>
      </c>
      <c r="AG530"/>
      <c r="AH530"/>
      <c r="AI530"/>
    </row>
    <row r="531" spans="1:35">
      <c r="A531" s="234" t="str">
        <f ca="1">IF(Table1[[#This Row],[No. Invoice :]]="","",ROW())</f>
        <v/>
      </c>
      <c r="B531" s="234" t="str">
        <f ca="1">IF(Table1[[#This Row],[Column3]]="","",B$1+COUNT(INDIRECT("B$2:B"&amp;ROW()-1)))</f>
        <v/>
      </c>
      <c r="C531" s="235" t="str">
        <f>IF(Table1[[#This Row],[Column2]]="","",Table1[[#This Row],[Column2]]+C$1-1)</f>
        <v/>
      </c>
      <c r="E531" s="236"/>
      <c r="F531" s="234"/>
      <c r="G531" s="234" t="str">
        <f ca="1">IF(Table1[[#This Row],[h_No. Invoice :]]="","",CONCATENATE("AM"," ",Table1[[#This Row],[h_No. Invoice :]]))</f>
        <v/>
      </c>
      <c r="H531" s="234" t="str">
        <f>IF(Table1[[#This Row],[Column5]]="","",INDEX(Table2[Column1],MATCH(Table1[[#This Row],[Column5]],Table2[a],0)))</f>
        <v/>
      </c>
      <c r="I531" s="234" t="str">
        <f>IF(Table1[[#This Row],[Column3]]=0,"",CONCATENATE(UPPER(Table1[[#This Row],[Column3]])," ",Table1[[#This Row],[Column4]]))</f>
        <v xml:space="preserve"> </v>
      </c>
      <c r="J531" s="234" t="str">
        <f>IF(Table1[[#This Row],[Column5]]="","",INDEX(Table2[e],IF(Table1[[#This Row],[Column5]]="","",MATCH(Table1[[#This Row],[Column5]],Table2[a],0)),))</f>
        <v/>
      </c>
      <c r="K531" s="234"/>
      <c r="L531" s="234"/>
      <c r="O531" s="234" t="str">
        <f>IF(Table1[[#This Row],[h_Item Description]]="","",INDEX([1]!db[NB PAJAK],MATCH(Table1[[#This Row],[h_Item Description]],[1]!db[kode],0)))</f>
        <v/>
      </c>
      <c r="Q531" s="237"/>
      <c r="R531" s="238"/>
      <c r="S531" s="238"/>
      <c r="T531" s="237" t="str">
        <f>Table1[[#This Row],[h_hargasetelahdiskon]]</f>
        <v/>
      </c>
      <c r="V531" s="234"/>
      <c r="W531" s="234" t="str">
        <f ca="1">IF(Table1[[#This Row],[Column12]]="","",IF(Table1[[#This Row],[//]]="",INDIRECT(ADDRESS(ROW()-1,COLUMN())),Table1[[#This Row],[//]]))</f>
        <v/>
      </c>
      <c r="X531" s="234" t="str">
        <f ca="1">IF(Table1[[#This Row],[h_id]]="","",COUNTIF(Table1[h_id],Table1[[#This Row],[h_id]]))</f>
        <v/>
      </c>
      <c r="Y531" s="237" t="str">
        <f>IF(Table1[[#This Row],[Column12]]="","",Table1[[#This Row],[Qty]]*Table1[[#This Row],[Column13]])</f>
        <v/>
      </c>
      <c r="Z531" s="237" t="str">
        <f>IF(Table1[[#This Row],[h_hargasebelumdiskon]]="","",IF(Table1[[#This Row],[Column14]]="",0,Table1[[#This Row],[h_hargasebelumdiskon]]*Table1[[#This Row],[Column14]]))</f>
        <v/>
      </c>
      <c r="AA531" s="237" t="str">
        <f>IF(Table1[[#This Row],[h_hargasebelumdiskon]]="","",IF(Table1[[#This Row],[Column15]]="",0,(Table1[[#This Row],[h_hargasebelumdiskon]]-Table1[[#This Row],[h_disc 1]])*Table1[[#This Row],[Column15]]))</f>
        <v/>
      </c>
      <c r="AB531" s="237" t="str">
        <f>IF(Table1[[#This Row],[Column12]]="","",Table1[[#This Row],[h_disc 1]]+Table1[[#This Row],[h_disc 2]])</f>
        <v/>
      </c>
      <c r="AC531" s="237" t="str">
        <f>IF(Table1[[#This Row],[Column12]]="","",Table1[[#This Row],[h_hargasebelumdiskon]]-Table1[[#This Row],[h_diskon]])</f>
        <v/>
      </c>
      <c r="AD531" s="237" t="str">
        <f ca="1">IF(Table1[[#This Row],[//]]="","",SUMIF(Table1[h_id],Table1[[#This Row],[h_id]],Table1[h_hargasetelahdiskon]))</f>
        <v/>
      </c>
      <c r="AF531" s="237" t="str">
        <f>Table1[[#This Row],[Column12]]&amp;Table1[[#This Row],[Unit]]&amp;Table1[[#This Row],[Column13]]</f>
        <v/>
      </c>
      <c r="AG531"/>
      <c r="AH531"/>
      <c r="AI531"/>
    </row>
    <row r="532" spans="1:35">
      <c r="A532" s="234" t="str">
        <f ca="1">IF(Table1[[#This Row],[No. Invoice :]]="","",ROW())</f>
        <v/>
      </c>
      <c r="B532" s="234" t="str">
        <f ca="1">IF(Table1[[#This Row],[Column3]]="","",B$1+COUNT(INDIRECT("B$2:B"&amp;ROW()-1)))</f>
        <v/>
      </c>
      <c r="C532" s="235" t="str">
        <f>IF(Table1[[#This Row],[Column2]]="","",Table1[[#This Row],[Column2]]+C$1-1)</f>
        <v/>
      </c>
      <c r="E532" s="236"/>
      <c r="F532" s="234"/>
      <c r="G532" s="234" t="str">
        <f ca="1">IF(Table1[[#This Row],[h_No. Invoice :]]="","",CONCATENATE("AM"," ",Table1[[#This Row],[h_No. Invoice :]]))</f>
        <v/>
      </c>
      <c r="H532" s="234" t="str">
        <f>IF(Table1[[#This Row],[Column5]]="","",INDEX(Table2[Column1],MATCH(Table1[[#This Row],[Column5]],Table2[a],0)))</f>
        <v/>
      </c>
      <c r="I532" s="234" t="str">
        <f>IF(Table1[[#This Row],[Column3]]=0,"",CONCATENATE(UPPER(Table1[[#This Row],[Column3]])," ",Table1[[#This Row],[Column4]]))</f>
        <v xml:space="preserve"> </v>
      </c>
      <c r="J532" s="234" t="str">
        <f>IF(Table1[[#This Row],[Column5]]="","",INDEX(Table2[e],IF(Table1[[#This Row],[Column5]]="","",MATCH(Table1[[#This Row],[Column5]],Table2[a],0)),))</f>
        <v/>
      </c>
      <c r="K532" s="234"/>
      <c r="L532" s="234"/>
      <c r="O532" s="234" t="str">
        <f>IF(Table1[[#This Row],[h_Item Description]]="","",INDEX([1]!db[NB PAJAK],MATCH(Table1[[#This Row],[h_Item Description]],[1]!db[kode],0)))</f>
        <v/>
      </c>
      <c r="Q532" s="237"/>
      <c r="R532" s="238"/>
      <c r="S532" s="238"/>
      <c r="T532" s="237" t="str">
        <f>Table1[[#This Row],[h_hargasetelahdiskon]]</f>
        <v/>
      </c>
      <c r="V532" s="234"/>
      <c r="W532" s="234" t="str">
        <f ca="1">IF(Table1[[#This Row],[Column12]]="","",IF(Table1[[#This Row],[//]]="",INDIRECT(ADDRESS(ROW()-1,COLUMN())),Table1[[#This Row],[//]]))</f>
        <v/>
      </c>
      <c r="X532" s="234" t="str">
        <f ca="1">IF(Table1[[#This Row],[h_id]]="","",COUNTIF(Table1[h_id],Table1[[#This Row],[h_id]]))</f>
        <v/>
      </c>
      <c r="Y532" s="237" t="str">
        <f>IF(Table1[[#This Row],[Column12]]="","",Table1[[#This Row],[Qty]]*Table1[[#This Row],[Column13]])</f>
        <v/>
      </c>
      <c r="Z532" s="237" t="str">
        <f>IF(Table1[[#This Row],[h_hargasebelumdiskon]]="","",IF(Table1[[#This Row],[Column14]]="",0,Table1[[#This Row],[h_hargasebelumdiskon]]*Table1[[#This Row],[Column14]]))</f>
        <v/>
      </c>
      <c r="AA532" s="237" t="str">
        <f>IF(Table1[[#This Row],[h_hargasebelumdiskon]]="","",IF(Table1[[#This Row],[Column15]]="",0,(Table1[[#This Row],[h_hargasebelumdiskon]]-Table1[[#This Row],[h_disc 1]])*Table1[[#This Row],[Column15]]))</f>
        <v/>
      </c>
      <c r="AB532" s="237" t="str">
        <f>IF(Table1[[#This Row],[Column12]]="","",Table1[[#This Row],[h_disc 1]]+Table1[[#This Row],[h_disc 2]])</f>
        <v/>
      </c>
      <c r="AC532" s="237" t="str">
        <f>IF(Table1[[#This Row],[Column12]]="","",Table1[[#This Row],[h_hargasebelumdiskon]]-Table1[[#This Row],[h_diskon]])</f>
        <v/>
      </c>
      <c r="AD532" s="237" t="str">
        <f ca="1">IF(Table1[[#This Row],[//]]="","",SUMIF(Table1[h_id],Table1[[#This Row],[h_id]],Table1[h_hargasetelahdiskon]))</f>
        <v/>
      </c>
      <c r="AF532" s="237" t="str">
        <f>Table1[[#This Row],[Column12]]&amp;Table1[[#This Row],[Unit]]&amp;Table1[[#This Row],[Column13]]</f>
        <v/>
      </c>
      <c r="AG532"/>
      <c r="AH532"/>
      <c r="AI532"/>
    </row>
    <row r="533" spans="1:35">
      <c r="A533" s="234" t="str">
        <f ca="1">IF(Table1[[#This Row],[No. Invoice :]]="","",ROW())</f>
        <v/>
      </c>
      <c r="B533" s="234" t="str">
        <f ca="1">IF(Table1[[#This Row],[Column3]]="","",B$1+COUNT(INDIRECT("B$2:B"&amp;ROW()-1)))</f>
        <v/>
      </c>
      <c r="C533" s="235" t="str">
        <f>IF(Table1[[#This Row],[Column2]]="","",Table1[[#This Row],[Column2]]+C$1-1)</f>
        <v/>
      </c>
      <c r="E533" s="236"/>
      <c r="F533" s="234"/>
      <c r="G533" s="234" t="str">
        <f ca="1">IF(Table1[[#This Row],[h_No. Invoice :]]="","",CONCATENATE("AM"," ",Table1[[#This Row],[h_No. Invoice :]]))</f>
        <v/>
      </c>
      <c r="H533" s="234" t="str">
        <f>IF(Table1[[#This Row],[Column5]]="","",INDEX(Table2[Column1],MATCH(Table1[[#This Row],[Column5]],Table2[a],0)))</f>
        <v/>
      </c>
      <c r="I533" s="234" t="str">
        <f>IF(Table1[[#This Row],[Column3]]=0,"",CONCATENATE(UPPER(Table1[[#This Row],[Column3]])," ",Table1[[#This Row],[Column4]]))</f>
        <v xml:space="preserve"> </v>
      </c>
      <c r="J533" s="234" t="str">
        <f>IF(Table1[[#This Row],[Column5]]="","",INDEX(Table2[e],IF(Table1[[#This Row],[Column5]]="","",MATCH(Table1[[#This Row],[Column5]],Table2[a],0)),))</f>
        <v/>
      </c>
      <c r="K533" s="234"/>
      <c r="L533" s="234"/>
      <c r="O533" s="234" t="str">
        <f>IF(Table1[[#This Row],[h_Item Description]]="","",INDEX([1]!db[NB PAJAK],MATCH(Table1[[#This Row],[h_Item Description]],[1]!db[kode],0)))</f>
        <v/>
      </c>
      <c r="Q533" s="237"/>
      <c r="R533" s="238"/>
      <c r="S533" s="238"/>
      <c r="T533" s="237" t="str">
        <f>Table1[[#This Row],[h_hargasetelahdiskon]]</f>
        <v/>
      </c>
      <c r="V533" s="234"/>
      <c r="W533" s="234" t="str">
        <f ca="1">IF(Table1[[#This Row],[Column12]]="","",IF(Table1[[#This Row],[//]]="",INDIRECT(ADDRESS(ROW()-1,COLUMN())),Table1[[#This Row],[//]]))</f>
        <v/>
      </c>
      <c r="X533" s="234" t="str">
        <f ca="1">IF(Table1[[#This Row],[h_id]]="","",COUNTIF(Table1[h_id],Table1[[#This Row],[h_id]]))</f>
        <v/>
      </c>
      <c r="Y533" s="237" t="str">
        <f>IF(Table1[[#This Row],[Column12]]="","",Table1[[#This Row],[Qty]]*Table1[[#This Row],[Column13]])</f>
        <v/>
      </c>
      <c r="Z533" s="237" t="str">
        <f>IF(Table1[[#This Row],[h_hargasebelumdiskon]]="","",IF(Table1[[#This Row],[Column14]]="",0,Table1[[#This Row],[h_hargasebelumdiskon]]*Table1[[#This Row],[Column14]]))</f>
        <v/>
      </c>
      <c r="AA533" s="237" t="str">
        <f>IF(Table1[[#This Row],[h_hargasebelumdiskon]]="","",IF(Table1[[#This Row],[Column15]]="",0,(Table1[[#This Row],[h_hargasebelumdiskon]]-Table1[[#This Row],[h_disc 1]])*Table1[[#This Row],[Column15]]))</f>
        <v/>
      </c>
      <c r="AB533" s="237" t="str">
        <f>IF(Table1[[#This Row],[Column12]]="","",Table1[[#This Row],[h_disc 1]]+Table1[[#This Row],[h_disc 2]])</f>
        <v/>
      </c>
      <c r="AC533" s="237" t="str">
        <f>IF(Table1[[#This Row],[Column12]]="","",Table1[[#This Row],[h_hargasebelumdiskon]]-Table1[[#This Row],[h_diskon]])</f>
        <v/>
      </c>
      <c r="AD533" s="237" t="str">
        <f ca="1">IF(Table1[[#This Row],[//]]="","",SUMIF(Table1[h_id],Table1[[#This Row],[h_id]],Table1[h_hargasetelahdiskon]))</f>
        <v/>
      </c>
      <c r="AF533" s="237" t="str">
        <f>Table1[[#This Row],[Column12]]&amp;Table1[[#This Row],[Unit]]&amp;Table1[[#This Row],[Column13]]</f>
        <v/>
      </c>
      <c r="AG533"/>
      <c r="AH533"/>
      <c r="AI533"/>
    </row>
    <row r="534" spans="1:35">
      <c r="A534" s="234" t="str">
        <f ca="1">IF(Table1[[#This Row],[No. Invoice :]]="","",ROW())</f>
        <v/>
      </c>
      <c r="B534" s="234" t="str">
        <f ca="1">IF(Table1[[#This Row],[Column3]]="","",B$1+COUNT(INDIRECT("B$2:B"&amp;ROW()-1)))</f>
        <v/>
      </c>
      <c r="C534" s="235" t="str">
        <f>IF(Table1[[#This Row],[Column2]]="","",Table1[[#This Row],[Column2]]+C$1-1)</f>
        <v/>
      </c>
      <c r="E534" s="236"/>
      <c r="F534" s="234"/>
      <c r="G534" s="234" t="str">
        <f ca="1">IF(Table1[[#This Row],[h_No. Invoice :]]="","",CONCATENATE("AM"," ",Table1[[#This Row],[h_No. Invoice :]]))</f>
        <v/>
      </c>
      <c r="H534" s="234" t="str">
        <f>IF(Table1[[#This Row],[Column5]]="","",INDEX(Table2[Column1],MATCH(Table1[[#This Row],[Column5]],Table2[a],0)))</f>
        <v/>
      </c>
      <c r="I534" s="234" t="str">
        <f>IF(Table1[[#This Row],[Column3]]=0,"",CONCATENATE(UPPER(Table1[[#This Row],[Column3]])," ",Table1[[#This Row],[Column4]]))</f>
        <v xml:space="preserve"> </v>
      </c>
      <c r="J534" s="234" t="str">
        <f>IF(Table1[[#This Row],[Column5]]="","",INDEX(Table2[e],IF(Table1[[#This Row],[Column5]]="","",MATCH(Table1[[#This Row],[Column5]],Table2[a],0)),))</f>
        <v/>
      </c>
      <c r="K534" s="234"/>
      <c r="L534" s="234"/>
      <c r="O534" s="234" t="str">
        <f>IF(Table1[[#This Row],[h_Item Description]]="","",INDEX([1]!db[NB PAJAK],MATCH(Table1[[#This Row],[h_Item Description]],[1]!db[kode],0)))</f>
        <v/>
      </c>
      <c r="Q534" s="237"/>
      <c r="R534" s="238"/>
      <c r="S534" s="238"/>
      <c r="T534" s="237" t="str">
        <f>Table1[[#This Row],[h_hargasetelahdiskon]]</f>
        <v/>
      </c>
      <c r="V534" s="234"/>
      <c r="W534" s="234" t="str">
        <f ca="1">IF(Table1[[#This Row],[Column12]]="","",IF(Table1[[#This Row],[//]]="",INDIRECT(ADDRESS(ROW()-1,COLUMN())),Table1[[#This Row],[//]]))</f>
        <v/>
      </c>
      <c r="X534" s="234" t="str">
        <f ca="1">IF(Table1[[#This Row],[h_id]]="","",COUNTIF(Table1[h_id],Table1[[#This Row],[h_id]]))</f>
        <v/>
      </c>
      <c r="Y534" s="237" t="str">
        <f>IF(Table1[[#This Row],[Column12]]="","",Table1[[#This Row],[Qty]]*Table1[[#This Row],[Column13]])</f>
        <v/>
      </c>
      <c r="Z534" s="237" t="str">
        <f>IF(Table1[[#This Row],[h_hargasebelumdiskon]]="","",IF(Table1[[#This Row],[Column14]]="",0,Table1[[#This Row],[h_hargasebelumdiskon]]*Table1[[#This Row],[Column14]]))</f>
        <v/>
      </c>
      <c r="AA534" s="237" t="str">
        <f>IF(Table1[[#This Row],[h_hargasebelumdiskon]]="","",IF(Table1[[#This Row],[Column15]]="",0,(Table1[[#This Row],[h_hargasebelumdiskon]]-Table1[[#This Row],[h_disc 1]])*Table1[[#This Row],[Column15]]))</f>
        <v/>
      </c>
      <c r="AB534" s="237" t="str">
        <f>IF(Table1[[#This Row],[Column12]]="","",Table1[[#This Row],[h_disc 1]]+Table1[[#This Row],[h_disc 2]])</f>
        <v/>
      </c>
      <c r="AC534" s="237" t="str">
        <f>IF(Table1[[#This Row],[Column12]]="","",Table1[[#This Row],[h_hargasebelumdiskon]]-Table1[[#This Row],[h_diskon]])</f>
        <v/>
      </c>
      <c r="AD534" s="237" t="str">
        <f ca="1">IF(Table1[[#This Row],[//]]="","",SUMIF(Table1[h_id],Table1[[#This Row],[h_id]],Table1[h_hargasetelahdiskon]))</f>
        <v/>
      </c>
      <c r="AF534" s="237" t="str">
        <f>Table1[[#This Row],[Column12]]&amp;Table1[[#This Row],[Unit]]&amp;Table1[[#This Row],[Column13]]</f>
        <v/>
      </c>
      <c r="AG534"/>
      <c r="AH534"/>
      <c r="AI534"/>
    </row>
    <row r="535" spans="1:35">
      <c r="A535" s="234" t="str">
        <f ca="1">IF(Table1[[#This Row],[No. Invoice :]]="","",ROW())</f>
        <v/>
      </c>
      <c r="B535" s="234" t="str">
        <f ca="1">IF(Table1[[#This Row],[Column3]]="","",B$1+COUNT(INDIRECT("B$2:B"&amp;ROW()-1)))</f>
        <v/>
      </c>
      <c r="C535" s="235" t="str">
        <f>IF(Table1[[#This Row],[Column2]]="","",Table1[[#This Row],[Column2]]+C$1-1)</f>
        <v/>
      </c>
      <c r="E535" s="236"/>
      <c r="F535" s="234"/>
      <c r="G535" s="234" t="str">
        <f ca="1">IF(Table1[[#This Row],[h_No. Invoice :]]="","",CONCATENATE("AM"," ",Table1[[#This Row],[h_No. Invoice :]]))</f>
        <v/>
      </c>
      <c r="H535" s="234" t="str">
        <f>IF(Table1[[#This Row],[Column5]]="","",INDEX(Table2[Column1],MATCH(Table1[[#This Row],[Column5]],Table2[a],0)))</f>
        <v/>
      </c>
      <c r="I535" s="234" t="str">
        <f>IF(Table1[[#This Row],[Column3]]=0,"",CONCATENATE(UPPER(Table1[[#This Row],[Column3]])," ",Table1[[#This Row],[Column4]]))</f>
        <v xml:space="preserve"> </v>
      </c>
      <c r="J535" s="234" t="str">
        <f>IF(Table1[[#This Row],[Column5]]="","",INDEX(Table2[e],IF(Table1[[#This Row],[Column5]]="","",MATCH(Table1[[#This Row],[Column5]],Table2[a],0)),))</f>
        <v/>
      </c>
      <c r="K535" s="234"/>
      <c r="L535" s="234"/>
      <c r="O535" s="234" t="str">
        <f>IF(Table1[[#This Row],[h_Item Description]]="","",INDEX([1]!db[NB PAJAK],MATCH(Table1[[#This Row],[h_Item Description]],[1]!db[kode],0)))</f>
        <v/>
      </c>
      <c r="Q535" s="237"/>
      <c r="R535" s="238"/>
      <c r="S535" s="238"/>
      <c r="T535" s="237" t="str">
        <f>Table1[[#This Row],[h_hargasetelahdiskon]]</f>
        <v/>
      </c>
      <c r="V535" s="234"/>
      <c r="W535" s="234" t="str">
        <f ca="1">IF(Table1[[#This Row],[Column12]]="","",IF(Table1[[#This Row],[//]]="",INDIRECT(ADDRESS(ROW()-1,COLUMN())),Table1[[#This Row],[//]]))</f>
        <v/>
      </c>
      <c r="X535" s="234" t="str">
        <f ca="1">IF(Table1[[#This Row],[h_id]]="","",COUNTIF(Table1[h_id],Table1[[#This Row],[h_id]]))</f>
        <v/>
      </c>
      <c r="Y535" s="237" t="str">
        <f>IF(Table1[[#This Row],[Column12]]="","",Table1[[#This Row],[Qty]]*Table1[[#This Row],[Column13]])</f>
        <v/>
      </c>
      <c r="Z535" s="237" t="str">
        <f>IF(Table1[[#This Row],[h_hargasebelumdiskon]]="","",IF(Table1[[#This Row],[Column14]]="",0,Table1[[#This Row],[h_hargasebelumdiskon]]*Table1[[#This Row],[Column14]]))</f>
        <v/>
      </c>
      <c r="AA535" s="237" t="str">
        <f>IF(Table1[[#This Row],[h_hargasebelumdiskon]]="","",IF(Table1[[#This Row],[Column15]]="",0,(Table1[[#This Row],[h_hargasebelumdiskon]]-Table1[[#This Row],[h_disc 1]])*Table1[[#This Row],[Column15]]))</f>
        <v/>
      </c>
      <c r="AB535" s="237" t="str">
        <f>IF(Table1[[#This Row],[Column12]]="","",Table1[[#This Row],[h_disc 1]]+Table1[[#This Row],[h_disc 2]])</f>
        <v/>
      </c>
      <c r="AC535" s="237" t="str">
        <f>IF(Table1[[#This Row],[Column12]]="","",Table1[[#This Row],[h_hargasebelumdiskon]]-Table1[[#This Row],[h_diskon]])</f>
        <v/>
      </c>
      <c r="AD535" s="237" t="str">
        <f ca="1">IF(Table1[[#This Row],[//]]="","",SUMIF(Table1[h_id],Table1[[#This Row],[h_id]],Table1[h_hargasetelahdiskon]))</f>
        <v/>
      </c>
      <c r="AF535" s="237" t="str">
        <f>Table1[[#This Row],[Column12]]&amp;Table1[[#This Row],[Unit]]&amp;Table1[[#This Row],[Column13]]</f>
        <v/>
      </c>
      <c r="AG535"/>
      <c r="AH535"/>
      <c r="AI535"/>
    </row>
    <row r="536" spans="1:35">
      <c r="A536" s="234" t="str">
        <f ca="1">IF(Table1[[#This Row],[No. Invoice :]]="","",ROW())</f>
        <v/>
      </c>
      <c r="B536" s="234" t="str">
        <f ca="1">IF(Table1[[#This Row],[Column3]]="","",B$1+COUNT(INDIRECT("B$2:B"&amp;ROW()-1)))</f>
        <v/>
      </c>
      <c r="C536" s="235" t="str">
        <f>IF(Table1[[#This Row],[Column2]]="","",Table1[[#This Row],[Column2]]+C$1-1)</f>
        <v/>
      </c>
      <c r="E536" s="236"/>
      <c r="F536" s="234"/>
      <c r="G536" s="234" t="str">
        <f ca="1">IF(Table1[[#This Row],[h_No. Invoice :]]="","",CONCATENATE("AM"," ",Table1[[#This Row],[h_No. Invoice :]]))</f>
        <v/>
      </c>
      <c r="H536" s="234" t="str">
        <f>IF(Table1[[#This Row],[Column5]]="","",INDEX(Table2[Column1],MATCH(Table1[[#This Row],[Column5]],Table2[a],0)))</f>
        <v/>
      </c>
      <c r="I536" s="234" t="str">
        <f>IF(Table1[[#This Row],[Column3]]=0,"",CONCATENATE(UPPER(Table1[[#This Row],[Column3]])," ",Table1[[#This Row],[Column4]]))</f>
        <v xml:space="preserve"> </v>
      </c>
      <c r="J536" s="234" t="str">
        <f>IF(Table1[[#This Row],[Column5]]="","",INDEX(Table2[e],IF(Table1[[#This Row],[Column5]]="","",MATCH(Table1[[#This Row],[Column5]],Table2[a],0)),))</f>
        <v/>
      </c>
      <c r="K536" s="234"/>
      <c r="L536" s="234"/>
      <c r="O536" s="234" t="str">
        <f>IF(Table1[[#This Row],[h_Item Description]]="","",INDEX([1]!db[NB PAJAK],MATCH(Table1[[#This Row],[h_Item Description]],[1]!db[kode],0)))</f>
        <v/>
      </c>
      <c r="Q536" s="237"/>
      <c r="R536" s="238"/>
      <c r="S536" s="238"/>
      <c r="T536" s="237" t="str">
        <f>Table1[[#This Row],[h_hargasetelahdiskon]]</f>
        <v/>
      </c>
      <c r="V536" s="234"/>
      <c r="W536" s="234" t="str">
        <f ca="1">IF(Table1[[#This Row],[Column12]]="","",IF(Table1[[#This Row],[//]]="",INDIRECT(ADDRESS(ROW()-1,COLUMN())),Table1[[#This Row],[//]]))</f>
        <v/>
      </c>
      <c r="X536" s="234" t="str">
        <f ca="1">IF(Table1[[#This Row],[h_id]]="","",COUNTIF(Table1[h_id],Table1[[#This Row],[h_id]]))</f>
        <v/>
      </c>
      <c r="Y536" s="237" t="str">
        <f>IF(Table1[[#This Row],[Column12]]="","",Table1[[#This Row],[Qty]]*Table1[[#This Row],[Column13]])</f>
        <v/>
      </c>
      <c r="Z536" s="237" t="str">
        <f>IF(Table1[[#This Row],[h_hargasebelumdiskon]]="","",IF(Table1[[#This Row],[Column14]]="",0,Table1[[#This Row],[h_hargasebelumdiskon]]*Table1[[#This Row],[Column14]]))</f>
        <v/>
      </c>
      <c r="AA536" s="237" t="str">
        <f>IF(Table1[[#This Row],[h_hargasebelumdiskon]]="","",IF(Table1[[#This Row],[Column15]]="",0,(Table1[[#This Row],[h_hargasebelumdiskon]]-Table1[[#This Row],[h_disc 1]])*Table1[[#This Row],[Column15]]))</f>
        <v/>
      </c>
      <c r="AB536" s="237" t="str">
        <f>IF(Table1[[#This Row],[Column12]]="","",Table1[[#This Row],[h_disc 1]]+Table1[[#This Row],[h_disc 2]])</f>
        <v/>
      </c>
      <c r="AC536" s="237" t="str">
        <f>IF(Table1[[#This Row],[Column12]]="","",Table1[[#This Row],[h_hargasebelumdiskon]]-Table1[[#This Row],[h_diskon]])</f>
        <v/>
      </c>
      <c r="AD536" s="237" t="str">
        <f ca="1">IF(Table1[[#This Row],[//]]="","",SUMIF(Table1[h_id],Table1[[#This Row],[h_id]],Table1[h_hargasetelahdiskon]))</f>
        <v/>
      </c>
      <c r="AF536" s="237" t="str">
        <f>Table1[[#This Row],[Column12]]&amp;Table1[[#This Row],[Unit]]&amp;Table1[[#This Row],[Column13]]</f>
        <v/>
      </c>
      <c r="AG536"/>
      <c r="AH536"/>
      <c r="AI536"/>
    </row>
    <row r="537" spans="1:35">
      <c r="A537" s="234" t="str">
        <f ca="1">IF(Table1[[#This Row],[No. Invoice :]]="","",ROW())</f>
        <v/>
      </c>
      <c r="B537" s="234" t="str">
        <f ca="1">IF(Table1[[#This Row],[Column3]]="","",B$1+COUNT(INDIRECT("B$2:B"&amp;ROW()-1)))</f>
        <v/>
      </c>
      <c r="C537" s="235" t="str">
        <f>IF(Table1[[#This Row],[Column2]]="","",Table1[[#This Row],[Column2]]+C$1-1)</f>
        <v/>
      </c>
      <c r="E537" s="236"/>
      <c r="F537" s="234"/>
      <c r="G537" s="234" t="str">
        <f ca="1">IF(Table1[[#This Row],[h_No. Invoice :]]="","",CONCATENATE("AM"," ",Table1[[#This Row],[h_No. Invoice :]]))</f>
        <v/>
      </c>
      <c r="H537" s="234" t="str">
        <f>IF(Table1[[#This Row],[Column5]]="","",INDEX(Table2[Column1],MATCH(Table1[[#This Row],[Column5]],Table2[a],0)))</f>
        <v/>
      </c>
      <c r="I537" s="234" t="str">
        <f>IF(Table1[[#This Row],[Column3]]=0,"",CONCATENATE(UPPER(Table1[[#This Row],[Column3]])," ",Table1[[#This Row],[Column4]]))</f>
        <v xml:space="preserve"> </v>
      </c>
      <c r="J537" s="234" t="str">
        <f>IF(Table1[[#This Row],[Column5]]="","",INDEX(Table2[e],IF(Table1[[#This Row],[Column5]]="","",MATCH(Table1[[#This Row],[Column5]],Table2[a],0)),))</f>
        <v/>
      </c>
      <c r="K537" s="234"/>
      <c r="L537" s="234"/>
      <c r="O537" s="234" t="str">
        <f>IF(Table1[[#This Row],[h_Item Description]]="","",INDEX([1]!db[NB PAJAK],MATCH(Table1[[#This Row],[h_Item Description]],[1]!db[kode],0)))</f>
        <v/>
      </c>
      <c r="Q537" s="237"/>
      <c r="R537" s="238"/>
      <c r="S537" s="238"/>
      <c r="T537" s="237" t="str">
        <f>Table1[[#This Row],[h_hargasetelahdiskon]]</f>
        <v/>
      </c>
      <c r="V537" s="234"/>
      <c r="W537" s="234" t="str">
        <f ca="1">IF(Table1[[#This Row],[Column12]]="","",IF(Table1[[#This Row],[//]]="",INDIRECT(ADDRESS(ROW()-1,COLUMN())),Table1[[#This Row],[//]]))</f>
        <v/>
      </c>
      <c r="X537" s="234" t="str">
        <f ca="1">IF(Table1[[#This Row],[h_id]]="","",COUNTIF(Table1[h_id],Table1[[#This Row],[h_id]]))</f>
        <v/>
      </c>
      <c r="Y537" s="237" t="str">
        <f>IF(Table1[[#This Row],[Column12]]="","",Table1[[#This Row],[Qty]]*Table1[[#This Row],[Column13]])</f>
        <v/>
      </c>
      <c r="Z537" s="237" t="str">
        <f>IF(Table1[[#This Row],[h_hargasebelumdiskon]]="","",IF(Table1[[#This Row],[Column14]]="",0,Table1[[#This Row],[h_hargasebelumdiskon]]*Table1[[#This Row],[Column14]]))</f>
        <v/>
      </c>
      <c r="AA537" s="237" t="str">
        <f>IF(Table1[[#This Row],[h_hargasebelumdiskon]]="","",IF(Table1[[#This Row],[Column15]]="",0,(Table1[[#This Row],[h_hargasebelumdiskon]]-Table1[[#This Row],[h_disc 1]])*Table1[[#This Row],[Column15]]))</f>
        <v/>
      </c>
      <c r="AB537" s="237" t="str">
        <f>IF(Table1[[#This Row],[Column12]]="","",Table1[[#This Row],[h_disc 1]]+Table1[[#This Row],[h_disc 2]])</f>
        <v/>
      </c>
      <c r="AC537" s="237" t="str">
        <f>IF(Table1[[#This Row],[Column12]]="","",Table1[[#This Row],[h_hargasebelumdiskon]]-Table1[[#This Row],[h_diskon]])</f>
        <v/>
      </c>
      <c r="AD537" s="237" t="str">
        <f ca="1">IF(Table1[[#This Row],[//]]="","",SUMIF(Table1[h_id],Table1[[#This Row],[h_id]],Table1[h_hargasetelahdiskon]))</f>
        <v/>
      </c>
      <c r="AF537" s="237" t="str">
        <f>Table1[[#This Row],[Column12]]&amp;Table1[[#This Row],[Unit]]&amp;Table1[[#This Row],[Column13]]</f>
        <v/>
      </c>
      <c r="AG537"/>
      <c r="AH537"/>
      <c r="AI537"/>
    </row>
    <row r="538" spans="1:35">
      <c r="A538" s="234" t="str">
        <f ca="1">IF(Table1[[#This Row],[No. Invoice :]]="","",ROW())</f>
        <v/>
      </c>
      <c r="B538" s="234" t="str">
        <f ca="1">IF(Table1[[#This Row],[Column3]]="","",B$1+COUNT(INDIRECT("B$2:B"&amp;ROW()-1)))</f>
        <v/>
      </c>
      <c r="C538" s="235" t="str">
        <f>IF(Table1[[#This Row],[Column2]]="","",Table1[[#This Row],[Column2]]+C$1-1)</f>
        <v/>
      </c>
      <c r="E538" s="236"/>
      <c r="F538" s="234"/>
      <c r="G538" s="234" t="str">
        <f ca="1">IF(Table1[[#This Row],[h_No. Invoice :]]="","",CONCATENATE("AM"," ",Table1[[#This Row],[h_No. Invoice :]]))</f>
        <v/>
      </c>
      <c r="H538" s="234" t="str">
        <f>IF(Table1[[#This Row],[Column5]]="","",INDEX(Table2[Column1],MATCH(Table1[[#This Row],[Column5]],Table2[a],0)))</f>
        <v/>
      </c>
      <c r="I538" s="234" t="str">
        <f>IF(Table1[[#This Row],[Column3]]=0,"",CONCATENATE(UPPER(Table1[[#This Row],[Column3]])," ",Table1[[#This Row],[Column4]]))</f>
        <v xml:space="preserve"> </v>
      </c>
      <c r="J538" s="234" t="str">
        <f>IF(Table1[[#This Row],[Column5]]="","",INDEX(Table2[e],IF(Table1[[#This Row],[Column5]]="","",MATCH(Table1[[#This Row],[Column5]],Table2[a],0)),))</f>
        <v/>
      </c>
      <c r="K538" s="234"/>
      <c r="L538" s="234"/>
      <c r="O538" s="234" t="str">
        <f>IF(Table1[[#This Row],[h_Item Description]]="","",INDEX([1]!db[NB PAJAK],MATCH(Table1[[#This Row],[h_Item Description]],[1]!db[kode],0)))</f>
        <v/>
      </c>
      <c r="Q538" s="237"/>
      <c r="R538" s="238"/>
      <c r="S538" s="238"/>
      <c r="T538" s="237" t="str">
        <f>Table1[[#This Row],[h_hargasetelahdiskon]]</f>
        <v/>
      </c>
      <c r="V538" s="234"/>
      <c r="W538" s="234" t="str">
        <f ca="1">IF(Table1[[#This Row],[Column12]]="","",IF(Table1[[#This Row],[//]]="",INDIRECT(ADDRESS(ROW()-1,COLUMN())),Table1[[#This Row],[//]]))</f>
        <v/>
      </c>
      <c r="X538" s="234" t="str">
        <f ca="1">IF(Table1[[#This Row],[h_id]]="","",COUNTIF(Table1[h_id],Table1[[#This Row],[h_id]]))</f>
        <v/>
      </c>
      <c r="Y538" s="237" t="str">
        <f>IF(Table1[[#This Row],[Column12]]="","",Table1[[#This Row],[Qty]]*Table1[[#This Row],[Column13]])</f>
        <v/>
      </c>
      <c r="Z538" s="237" t="str">
        <f>IF(Table1[[#This Row],[h_hargasebelumdiskon]]="","",IF(Table1[[#This Row],[Column14]]="",0,Table1[[#This Row],[h_hargasebelumdiskon]]*Table1[[#This Row],[Column14]]))</f>
        <v/>
      </c>
      <c r="AA538" s="237" t="str">
        <f>IF(Table1[[#This Row],[h_hargasebelumdiskon]]="","",IF(Table1[[#This Row],[Column15]]="",0,(Table1[[#This Row],[h_hargasebelumdiskon]]-Table1[[#This Row],[h_disc 1]])*Table1[[#This Row],[Column15]]))</f>
        <v/>
      </c>
      <c r="AB538" s="237" t="str">
        <f>IF(Table1[[#This Row],[Column12]]="","",Table1[[#This Row],[h_disc 1]]+Table1[[#This Row],[h_disc 2]])</f>
        <v/>
      </c>
      <c r="AC538" s="237" t="str">
        <f>IF(Table1[[#This Row],[Column12]]="","",Table1[[#This Row],[h_hargasebelumdiskon]]-Table1[[#This Row],[h_diskon]])</f>
        <v/>
      </c>
      <c r="AD538" s="237" t="str">
        <f ca="1">IF(Table1[[#This Row],[//]]="","",SUMIF(Table1[h_id],Table1[[#This Row],[h_id]],Table1[h_hargasetelahdiskon]))</f>
        <v/>
      </c>
      <c r="AF538" s="237" t="str">
        <f>Table1[[#This Row],[Column12]]&amp;Table1[[#This Row],[Unit]]&amp;Table1[[#This Row],[Column13]]</f>
        <v/>
      </c>
      <c r="AG538"/>
      <c r="AH538"/>
      <c r="AI538"/>
    </row>
    <row r="539" spans="1:35">
      <c r="A539" s="234" t="str">
        <f ca="1">IF(Table1[[#This Row],[No. Invoice :]]="","",ROW())</f>
        <v/>
      </c>
      <c r="B539" s="234" t="str">
        <f ca="1">IF(Table1[[#This Row],[Column3]]="","",B$1+COUNT(INDIRECT("B$2:B"&amp;ROW()-1)))</f>
        <v/>
      </c>
      <c r="C539" s="235" t="str">
        <f>IF(Table1[[#This Row],[Column2]]="","",Table1[[#This Row],[Column2]]+C$1-1)</f>
        <v/>
      </c>
      <c r="E539" s="236"/>
      <c r="F539" s="234"/>
      <c r="G539" s="234" t="str">
        <f ca="1">IF(Table1[[#This Row],[h_No. Invoice :]]="","",CONCATENATE("AM"," ",Table1[[#This Row],[h_No. Invoice :]]))</f>
        <v/>
      </c>
      <c r="H539" s="234" t="str">
        <f>IF(Table1[[#This Row],[Column5]]="","",INDEX(Table2[Column1],MATCH(Table1[[#This Row],[Column5]],Table2[a],0)))</f>
        <v/>
      </c>
      <c r="I539" s="234" t="str">
        <f>IF(Table1[[#This Row],[Column3]]=0,"",CONCATENATE(UPPER(Table1[[#This Row],[Column3]])," ",Table1[[#This Row],[Column4]]))</f>
        <v xml:space="preserve"> </v>
      </c>
      <c r="J539" s="234" t="str">
        <f>IF(Table1[[#This Row],[Column5]]="","",INDEX(Table2[e],IF(Table1[[#This Row],[Column5]]="","",MATCH(Table1[[#This Row],[Column5]],Table2[a],0)),))</f>
        <v/>
      </c>
      <c r="K539" s="234"/>
      <c r="L539" s="234"/>
      <c r="O539" s="234" t="str">
        <f>IF(Table1[[#This Row],[h_Item Description]]="","",INDEX([1]!db[NB PAJAK],MATCH(Table1[[#This Row],[h_Item Description]],[1]!db[kode],0)))</f>
        <v/>
      </c>
      <c r="Q539" s="237"/>
      <c r="R539" s="238"/>
      <c r="S539" s="238"/>
      <c r="T539" s="237" t="str">
        <f>Table1[[#This Row],[h_hargasetelahdiskon]]</f>
        <v/>
      </c>
      <c r="V539" s="234"/>
      <c r="W539" s="234" t="str">
        <f ca="1">IF(Table1[[#This Row],[Column12]]="","",IF(Table1[[#This Row],[//]]="",INDIRECT(ADDRESS(ROW()-1,COLUMN())),Table1[[#This Row],[//]]))</f>
        <v/>
      </c>
      <c r="X539" s="234" t="str">
        <f ca="1">IF(Table1[[#This Row],[h_id]]="","",COUNTIF(Table1[h_id],Table1[[#This Row],[h_id]]))</f>
        <v/>
      </c>
      <c r="Y539" s="237" t="str">
        <f>IF(Table1[[#This Row],[Column12]]="","",Table1[[#This Row],[Qty]]*Table1[[#This Row],[Column13]])</f>
        <v/>
      </c>
      <c r="Z539" s="237" t="str">
        <f>IF(Table1[[#This Row],[h_hargasebelumdiskon]]="","",IF(Table1[[#This Row],[Column14]]="",0,Table1[[#This Row],[h_hargasebelumdiskon]]*Table1[[#This Row],[Column14]]))</f>
        <v/>
      </c>
      <c r="AA539" s="237" t="str">
        <f>IF(Table1[[#This Row],[h_hargasebelumdiskon]]="","",IF(Table1[[#This Row],[Column15]]="",0,(Table1[[#This Row],[h_hargasebelumdiskon]]-Table1[[#This Row],[h_disc 1]])*Table1[[#This Row],[Column15]]))</f>
        <v/>
      </c>
      <c r="AB539" s="237" t="str">
        <f>IF(Table1[[#This Row],[Column12]]="","",Table1[[#This Row],[h_disc 1]]+Table1[[#This Row],[h_disc 2]])</f>
        <v/>
      </c>
      <c r="AC539" s="237" t="str">
        <f>IF(Table1[[#This Row],[Column12]]="","",Table1[[#This Row],[h_hargasebelumdiskon]]-Table1[[#This Row],[h_diskon]])</f>
        <v/>
      </c>
      <c r="AD539" s="237" t="str">
        <f ca="1">IF(Table1[[#This Row],[//]]="","",SUMIF(Table1[h_id],Table1[[#This Row],[h_id]],Table1[h_hargasetelahdiskon]))</f>
        <v/>
      </c>
      <c r="AF539" s="237" t="str">
        <f>Table1[[#This Row],[Column12]]&amp;Table1[[#This Row],[Unit]]&amp;Table1[[#This Row],[Column13]]</f>
        <v/>
      </c>
      <c r="AG539"/>
      <c r="AH539"/>
      <c r="AI539"/>
    </row>
    <row r="540" spans="1:35">
      <c r="A540" s="234" t="str">
        <f ca="1">IF(Table1[[#This Row],[No. Invoice :]]="","",ROW())</f>
        <v/>
      </c>
      <c r="B540" s="234" t="str">
        <f ca="1">IF(Table1[[#This Row],[Column3]]="","",B$1+COUNT(INDIRECT("B$2:B"&amp;ROW()-1)))</f>
        <v/>
      </c>
      <c r="C540" s="235" t="str">
        <f>IF(Table1[[#This Row],[Column2]]="","",Table1[[#This Row],[Column2]]+C$1-1)</f>
        <v/>
      </c>
      <c r="E540" s="236"/>
      <c r="F540" s="234"/>
      <c r="G540" s="234" t="str">
        <f ca="1">IF(Table1[[#This Row],[h_No. Invoice :]]="","",CONCATENATE("AM"," ",Table1[[#This Row],[h_No. Invoice :]]))</f>
        <v/>
      </c>
      <c r="H540" s="234" t="str">
        <f>IF(Table1[[#This Row],[Column5]]="","",INDEX(Table2[Column1],MATCH(Table1[[#This Row],[Column5]],Table2[a],0)))</f>
        <v/>
      </c>
      <c r="I540" s="234" t="str">
        <f>IF(Table1[[#This Row],[Column3]]=0,"",CONCATENATE(UPPER(Table1[[#This Row],[Column3]])," ",Table1[[#This Row],[Column4]]))</f>
        <v xml:space="preserve"> </v>
      </c>
      <c r="J540" s="234" t="str">
        <f>IF(Table1[[#This Row],[Column5]]="","",INDEX(Table2[e],IF(Table1[[#This Row],[Column5]]="","",MATCH(Table1[[#This Row],[Column5]],Table2[a],0)),))</f>
        <v/>
      </c>
      <c r="K540" s="234"/>
      <c r="L540" s="234"/>
      <c r="O540" s="234" t="str">
        <f>IF(Table1[[#This Row],[h_Item Description]]="","",INDEX([1]!db[NB PAJAK],MATCH(Table1[[#This Row],[h_Item Description]],[1]!db[kode],0)))</f>
        <v/>
      </c>
      <c r="Q540" s="237"/>
      <c r="R540" s="238"/>
      <c r="S540" s="238"/>
      <c r="T540" s="237" t="str">
        <f>Table1[[#This Row],[h_hargasetelahdiskon]]</f>
        <v/>
      </c>
      <c r="V540" s="234"/>
      <c r="W540" s="234" t="str">
        <f ca="1">IF(Table1[[#This Row],[Column12]]="","",IF(Table1[[#This Row],[//]]="",INDIRECT(ADDRESS(ROW()-1,COLUMN())),Table1[[#This Row],[//]]))</f>
        <v/>
      </c>
      <c r="X540" s="234" t="str">
        <f ca="1">IF(Table1[[#This Row],[h_id]]="","",COUNTIF(Table1[h_id],Table1[[#This Row],[h_id]]))</f>
        <v/>
      </c>
      <c r="Y540" s="237" t="str">
        <f>IF(Table1[[#This Row],[Column12]]="","",Table1[[#This Row],[Qty]]*Table1[[#This Row],[Column13]])</f>
        <v/>
      </c>
      <c r="Z540" s="237" t="str">
        <f>IF(Table1[[#This Row],[h_hargasebelumdiskon]]="","",IF(Table1[[#This Row],[Column14]]="",0,Table1[[#This Row],[h_hargasebelumdiskon]]*Table1[[#This Row],[Column14]]))</f>
        <v/>
      </c>
      <c r="AA540" s="237" t="str">
        <f>IF(Table1[[#This Row],[h_hargasebelumdiskon]]="","",IF(Table1[[#This Row],[Column15]]="",0,(Table1[[#This Row],[h_hargasebelumdiskon]]-Table1[[#This Row],[h_disc 1]])*Table1[[#This Row],[Column15]]))</f>
        <v/>
      </c>
      <c r="AB540" s="237" t="str">
        <f>IF(Table1[[#This Row],[Column12]]="","",Table1[[#This Row],[h_disc 1]]+Table1[[#This Row],[h_disc 2]])</f>
        <v/>
      </c>
      <c r="AC540" s="237" t="str">
        <f>IF(Table1[[#This Row],[Column12]]="","",Table1[[#This Row],[h_hargasebelumdiskon]]-Table1[[#This Row],[h_diskon]])</f>
        <v/>
      </c>
      <c r="AD540" s="237" t="str">
        <f ca="1">IF(Table1[[#This Row],[//]]="","",SUMIF(Table1[h_id],Table1[[#This Row],[h_id]],Table1[h_hargasetelahdiskon]))</f>
        <v/>
      </c>
      <c r="AF540" s="237" t="str">
        <f>Table1[[#This Row],[Column12]]&amp;Table1[[#This Row],[Unit]]&amp;Table1[[#This Row],[Column13]]</f>
        <v/>
      </c>
      <c r="AG540"/>
      <c r="AH540"/>
      <c r="AI540"/>
    </row>
    <row r="541" spans="1:35">
      <c r="A541" s="234" t="str">
        <f ca="1">IF(Table1[[#This Row],[No. Invoice :]]="","",ROW())</f>
        <v/>
      </c>
      <c r="B541" s="234" t="str">
        <f ca="1">IF(Table1[[#This Row],[Column3]]="","",B$1+COUNT(INDIRECT("B$2:B"&amp;ROW()-1)))</f>
        <v/>
      </c>
      <c r="C541" s="235" t="str">
        <f>IF(Table1[[#This Row],[Column2]]="","",Table1[[#This Row],[Column2]]+C$1-1)</f>
        <v/>
      </c>
      <c r="E541" s="236"/>
      <c r="F541" s="234"/>
      <c r="G541" s="234" t="str">
        <f ca="1">IF(Table1[[#This Row],[h_No. Invoice :]]="","",CONCATENATE("AM"," ",Table1[[#This Row],[h_No. Invoice :]]))</f>
        <v/>
      </c>
      <c r="H541" s="234" t="str">
        <f>IF(Table1[[#This Row],[Column5]]="","",INDEX(Table2[Column1],MATCH(Table1[[#This Row],[Column5]],Table2[a],0)))</f>
        <v/>
      </c>
      <c r="I541" s="234" t="str">
        <f>IF(Table1[[#This Row],[Column3]]=0,"",CONCATENATE(UPPER(Table1[[#This Row],[Column3]])," ",Table1[[#This Row],[Column4]]))</f>
        <v xml:space="preserve"> </v>
      </c>
      <c r="J541" s="234" t="str">
        <f>IF(Table1[[#This Row],[Column5]]="","",INDEX(Table2[e],IF(Table1[[#This Row],[Column5]]="","",MATCH(Table1[[#This Row],[Column5]],Table2[a],0)),))</f>
        <v/>
      </c>
      <c r="K541" s="234"/>
      <c r="L541" s="234"/>
      <c r="O541" s="234" t="str">
        <f>IF(Table1[[#This Row],[h_Item Description]]="","",INDEX([1]!db[NB PAJAK],MATCH(Table1[[#This Row],[h_Item Description]],[1]!db[kode],0)))</f>
        <v/>
      </c>
      <c r="Q541" s="237"/>
      <c r="R541" s="238"/>
      <c r="S541" s="238"/>
      <c r="T541" s="237" t="str">
        <f>Table1[[#This Row],[h_hargasetelahdiskon]]</f>
        <v/>
      </c>
      <c r="V541" s="234"/>
      <c r="W541" s="234" t="str">
        <f ca="1">IF(Table1[[#This Row],[Column12]]="","",IF(Table1[[#This Row],[//]]="",INDIRECT(ADDRESS(ROW()-1,COLUMN())),Table1[[#This Row],[//]]))</f>
        <v/>
      </c>
      <c r="X541" s="234" t="str">
        <f ca="1">IF(Table1[[#This Row],[h_id]]="","",COUNTIF(Table1[h_id],Table1[[#This Row],[h_id]]))</f>
        <v/>
      </c>
      <c r="Y541" s="237" t="str">
        <f>IF(Table1[[#This Row],[Column12]]="","",Table1[[#This Row],[Qty]]*Table1[[#This Row],[Column13]])</f>
        <v/>
      </c>
      <c r="Z541" s="237" t="str">
        <f>IF(Table1[[#This Row],[h_hargasebelumdiskon]]="","",IF(Table1[[#This Row],[Column14]]="",0,Table1[[#This Row],[h_hargasebelumdiskon]]*Table1[[#This Row],[Column14]]))</f>
        <v/>
      </c>
      <c r="AA541" s="237" t="str">
        <f>IF(Table1[[#This Row],[h_hargasebelumdiskon]]="","",IF(Table1[[#This Row],[Column15]]="",0,(Table1[[#This Row],[h_hargasebelumdiskon]]-Table1[[#This Row],[h_disc 1]])*Table1[[#This Row],[Column15]]))</f>
        <v/>
      </c>
      <c r="AB541" s="237" t="str">
        <f>IF(Table1[[#This Row],[Column12]]="","",Table1[[#This Row],[h_disc 1]]+Table1[[#This Row],[h_disc 2]])</f>
        <v/>
      </c>
      <c r="AC541" s="237" t="str">
        <f>IF(Table1[[#This Row],[Column12]]="","",Table1[[#This Row],[h_hargasebelumdiskon]]-Table1[[#This Row],[h_diskon]])</f>
        <v/>
      </c>
      <c r="AD541" s="237" t="str">
        <f ca="1">IF(Table1[[#This Row],[//]]="","",SUMIF(Table1[h_id],Table1[[#This Row],[h_id]],Table1[h_hargasetelahdiskon]))</f>
        <v/>
      </c>
      <c r="AF541" s="237" t="str">
        <f>Table1[[#This Row],[Column12]]&amp;Table1[[#This Row],[Unit]]&amp;Table1[[#This Row],[Column13]]</f>
        <v/>
      </c>
      <c r="AG541"/>
      <c r="AH541"/>
      <c r="AI541"/>
    </row>
    <row r="542" spans="1:35">
      <c r="A542" s="234" t="str">
        <f ca="1">IF(Table1[[#This Row],[No. Invoice :]]="","",ROW())</f>
        <v/>
      </c>
      <c r="B542" s="234" t="str">
        <f ca="1">IF(Table1[[#This Row],[Column3]]="","",B$1+COUNT(INDIRECT("B$2:B"&amp;ROW()-1)))</f>
        <v/>
      </c>
      <c r="C542" s="235" t="str">
        <f>IF(Table1[[#This Row],[Column2]]="","",Table1[[#This Row],[Column2]]+C$1-1)</f>
        <v/>
      </c>
      <c r="E542" s="236"/>
      <c r="F542" s="234"/>
      <c r="G542" s="234" t="str">
        <f ca="1">IF(Table1[[#This Row],[h_No. Invoice :]]="","",CONCATENATE("AM"," ",Table1[[#This Row],[h_No. Invoice :]]))</f>
        <v/>
      </c>
      <c r="H542" s="234" t="str">
        <f>IF(Table1[[#This Row],[Column5]]="","",INDEX(Table2[Column1],MATCH(Table1[[#This Row],[Column5]],Table2[a],0)))</f>
        <v/>
      </c>
      <c r="I542" s="234" t="str">
        <f>IF(Table1[[#This Row],[Column3]]=0,"",CONCATENATE(UPPER(Table1[[#This Row],[Column3]])," ",Table1[[#This Row],[Column4]]))</f>
        <v xml:space="preserve"> </v>
      </c>
      <c r="J542" s="234" t="str">
        <f>IF(Table1[[#This Row],[Column5]]="","",INDEX(Table2[e],IF(Table1[[#This Row],[Column5]]="","",MATCH(Table1[[#This Row],[Column5]],Table2[a],0)),))</f>
        <v/>
      </c>
      <c r="K542" s="234"/>
      <c r="L542" s="234"/>
      <c r="O542" s="234" t="str">
        <f>IF(Table1[[#This Row],[h_Item Description]]="","",INDEX([1]!db[NB PAJAK],MATCH(Table1[[#This Row],[h_Item Description]],[1]!db[kode],0)))</f>
        <v/>
      </c>
      <c r="Q542" s="237"/>
      <c r="R542" s="238"/>
      <c r="S542" s="238"/>
      <c r="T542" s="237" t="str">
        <f>Table1[[#This Row],[h_hargasetelahdiskon]]</f>
        <v/>
      </c>
      <c r="V542" s="234"/>
      <c r="W542" s="234" t="str">
        <f ca="1">IF(Table1[[#This Row],[Column12]]="","",IF(Table1[[#This Row],[//]]="",INDIRECT(ADDRESS(ROW()-1,COLUMN())),Table1[[#This Row],[//]]))</f>
        <v/>
      </c>
      <c r="X542" s="234" t="str">
        <f ca="1">IF(Table1[[#This Row],[h_id]]="","",COUNTIF(Table1[h_id],Table1[[#This Row],[h_id]]))</f>
        <v/>
      </c>
      <c r="Y542" s="237" t="str">
        <f>IF(Table1[[#This Row],[Column12]]="","",Table1[[#This Row],[Qty]]*Table1[[#This Row],[Column13]])</f>
        <v/>
      </c>
      <c r="Z542" s="237" t="str">
        <f>IF(Table1[[#This Row],[h_hargasebelumdiskon]]="","",IF(Table1[[#This Row],[Column14]]="",0,Table1[[#This Row],[h_hargasebelumdiskon]]*Table1[[#This Row],[Column14]]))</f>
        <v/>
      </c>
      <c r="AA542" s="237" t="str">
        <f>IF(Table1[[#This Row],[h_hargasebelumdiskon]]="","",IF(Table1[[#This Row],[Column15]]="",0,(Table1[[#This Row],[h_hargasebelumdiskon]]-Table1[[#This Row],[h_disc 1]])*Table1[[#This Row],[Column15]]))</f>
        <v/>
      </c>
      <c r="AB542" s="237" t="str">
        <f>IF(Table1[[#This Row],[Column12]]="","",Table1[[#This Row],[h_disc 1]]+Table1[[#This Row],[h_disc 2]])</f>
        <v/>
      </c>
      <c r="AC542" s="237" t="str">
        <f>IF(Table1[[#This Row],[Column12]]="","",Table1[[#This Row],[h_hargasebelumdiskon]]-Table1[[#This Row],[h_diskon]])</f>
        <v/>
      </c>
      <c r="AD542" s="237" t="str">
        <f ca="1">IF(Table1[[#This Row],[//]]="","",SUMIF(Table1[h_id],Table1[[#This Row],[h_id]],Table1[h_hargasetelahdiskon]))</f>
        <v/>
      </c>
      <c r="AF542" s="237" t="str">
        <f>Table1[[#This Row],[Column12]]&amp;Table1[[#This Row],[Unit]]&amp;Table1[[#This Row],[Column13]]</f>
        <v/>
      </c>
      <c r="AG542"/>
      <c r="AH542"/>
      <c r="AI542"/>
    </row>
    <row r="543" spans="1:35">
      <c r="A543" s="234" t="str">
        <f ca="1">IF(Table1[[#This Row],[No. Invoice :]]="","",ROW())</f>
        <v/>
      </c>
      <c r="B543" s="234" t="str">
        <f ca="1">IF(Table1[[#This Row],[Column3]]="","",B$1+COUNT(INDIRECT("B$2:B"&amp;ROW()-1)))</f>
        <v/>
      </c>
      <c r="C543" s="235" t="str">
        <f>IF(Table1[[#This Row],[Column2]]="","",Table1[[#This Row],[Column2]]+C$1-1)</f>
        <v/>
      </c>
      <c r="E543" s="236"/>
      <c r="F543" s="234"/>
      <c r="G543" s="234" t="str">
        <f ca="1">IF(Table1[[#This Row],[h_No. Invoice :]]="","",CONCATENATE("AM"," ",Table1[[#This Row],[h_No. Invoice :]]))</f>
        <v/>
      </c>
      <c r="H543" s="234" t="str">
        <f>IF(Table1[[#This Row],[Column5]]="","",INDEX(Table2[Column1],MATCH(Table1[[#This Row],[Column5]],Table2[a],0)))</f>
        <v/>
      </c>
      <c r="I543" s="234" t="str">
        <f>IF(Table1[[#This Row],[Column3]]=0,"",CONCATENATE(UPPER(Table1[[#This Row],[Column3]])," ",Table1[[#This Row],[Column4]]))</f>
        <v xml:space="preserve"> </v>
      </c>
      <c r="J543" s="234" t="str">
        <f>IF(Table1[[#This Row],[Column5]]="","",INDEX(Table2[e],IF(Table1[[#This Row],[Column5]]="","",MATCH(Table1[[#This Row],[Column5]],Table2[a],0)),))</f>
        <v/>
      </c>
      <c r="K543" s="234"/>
      <c r="L543" s="234"/>
      <c r="O543" s="234" t="str">
        <f>IF(Table1[[#This Row],[h_Item Description]]="","",INDEX([1]!db[NB PAJAK],MATCH(Table1[[#This Row],[h_Item Description]],[1]!db[kode],0)))</f>
        <v/>
      </c>
      <c r="Q543" s="237"/>
      <c r="R543" s="238"/>
      <c r="S543" s="238"/>
      <c r="T543" s="237" t="str">
        <f>Table1[[#This Row],[h_hargasetelahdiskon]]</f>
        <v/>
      </c>
      <c r="V543" s="234"/>
      <c r="W543" s="234" t="str">
        <f ca="1">IF(Table1[[#This Row],[Column12]]="","",IF(Table1[[#This Row],[//]]="",INDIRECT(ADDRESS(ROW()-1,COLUMN())),Table1[[#This Row],[//]]))</f>
        <v/>
      </c>
      <c r="X543" s="234" t="str">
        <f ca="1">IF(Table1[[#This Row],[h_id]]="","",COUNTIF(Table1[h_id],Table1[[#This Row],[h_id]]))</f>
        <v/>
      </c>
      <c r="Y543" s="237" t="str">
        <f>IF(Table1[[#This Row],[Column12]]="","",Table1[[#This Row],[Qty]]*Table1[[#This Row],[Column13]])</f>
        <v/>
      </c>
      <c r="Z543" s="237" t="str">
        <f>IF(Table1[[#This Row],[h_hargasebelumdiskon]]="","",IF(Table1[[#This Row],[Column14]]="",0,Table1[[#This Row],[h_hargasebelumdiskon]]*Table1[[#This Row],[Column14]]))</f>
        <v/>
      </c>
      <c r="AA543" s="237" t="str">
        <f>IF(Table1[[#This Row],[h_hargasebelumdiskon]]="","",IF(Table1[[#This Row],[Column15]]="",0,(Table1[[#This Row],[h_hargasebelumdiskon]]-Table1[[#This Row],[h_disc 1]])*Table1[[#This Row],[Column15]]))</f>
        <v/>
      </c>
      <c r="AB543" s="237" t="str">
        <f>IF(Table1[[#This Row],[Column12]]="","",Table1[[#This Row],[h_disc 1]]+Table1[[#This Row],[h_disc 2]])</f>
        <v/>
      </c>
      <c r="AC543" s="237" t="str">
        <f>IF(Table1[[#This Row],[Column12]]="","",Table1[[#This Row],[h_hargasebelumdiskon]]-Table1[[#This Row],[h_diskon]])</f>
        <v/>
      </c>
      <c r="AD543" s="237" t="str">
        <f ca="1">IF(Table1[[#This Row],[//]]="","",SUMIF(Table1[h_id],Table1[[#This Row],[h_id]],Table1[h_hargasetelahdiskon]))</f>
        <v/>
      </c>
      <c r="AF543" s="237" t="str">
        <f>Table1[[#This Row],[Column12]]&amp;Table1[[#This Row],[Unit]]&amp;Table1[[#This Row],[Column13]]</f>
        <v/>
      </c>
      <c r="AG543"/>
      <c r="AH543"/>
      <c r="AI543"/>
    </row>
    <row r="544" spans="1:35">
      <c r="A544" s="234" t="str">
        <f ca="1">IF(Table1[[#This Row],[No. Invoice :]]="","",ROW())</f>
        <v/>
      </c>
      <c r="B544" s="234" t="str">
        <f ca="1">IF(Table1[[#This Row],[Column3]]="","",B$1+COUNT(INDIRECT("B$2:B"&amp;ROW()-1)))</f>
        <v/>
      </c>
      <c r="C544" s="235" t="str">
        <f>IF(Table1[[#This Row],[Column2]]="","",Table1[[#This Row],[Column2]]+C$1-1)</f>
        <v/>
      </c>
      <c r="E544" s="236"/>
      <c r="F544" s="234"/>
      <c r="G544" s="234" t="str">
        <f ca="1">IF(Table1[[#This Row],[h_No. Invoice :]]="","",CONCATENATE("AM"," ",Table1[[#This Row],[h_No. Invoice :]]))</f>
        <v/>
      </c>
      <c r="H544" s="234" t="str">
        <f>IF(Table1[[#This Row],[Column5]]="","",INDEX(Table2[Column1],MATCH(Table1[[#This Row],[Column5]],Table2[a],0)))</f>
        <v/>
      </c>
      <c r="I544" s="234" t="str">
        <f>IF(Table1[[#This Row],[Column3]]=0,"",CONCATENATE(UPPER(Table1[[#This Row],[Column3]])," ",Table1[[#This Row],[Column4]]))</f>
        <v xml:space="preserve"> </v>
      </c>
      <c r="J544" s="234" t="str">
        <f>IF(Table1[[#This Row],[Column5]]="","",INDEX(Table2[e],IF(Table1[[#This Row],[Column5]]="","",MATCH(Table1[[#This Row],[Column5]],Table2[a],0)),))</f>
        <v/>
      </c>
      <c r="K544" s="234"/>
      <c r="L544" s="234"/>
      <c r="O544" s="234" t="str">
        <f>IF(Table1[[#This Row],[h_Item Description]]="","",INDEX([1]!db[NB PAJAK],MATCH(Table1[[#This Row],[h_Item Description]],[1]!db[kode],0)))</f>
        <v/>
      </c>
      <c r="Q544" s="237"/>
      <c r="R544" s="238"/>
      <c r="S544" s="238"/>
      <c r="T544" s="237" t="str">
        <f>Table1[[#This Row],[h_hargasetelahdiskon]]</f>
        <v/>
      </c>
      <c r="V544" s="234"/>
      <c r="W544" s="234" t="str">
        <f ca="1">IF(Table1[[#This Row],[Column12]]="","",IF(Table1[[#This Row],[//]]="",INDIRECT(ADDRESS(ROW()-1,COLUMN())),Table1[[#This Row],[//]]))</f>
        <v/>
      </c>
      <c r="X544" s="234" t="str">
        <f ca="1">IF(Table1[[#This Row],[h_id]]="","",COUNTIF(Table1[h_id],Table1[[#This Row],[h_id]]))</f>
        <v/>
      </c>
      <c r="Y544" s="237" t="str">
        <f>IF(Table1[[#This Row],[Column12]]="","",Table1[[#This Row],[Qty]]*Table1[[#This Row],[Column13]])</f>
        <v/>
      </c>
      <c r="Z544" s="237" t="str">
        <f>IF(Table1[[#This Row],[h_hargasebelumdiskon]]="","",IF(Table1[[#This Row],[Column14]]="",0,Table1[[#This Row],[h_hargasebelumdiskon]]*Table1[[#This Row],[Column14]]))</f>
        <v/>
      </c>
      <c r="AA544" s="237" t="str">
        <f>IF(Table1[[#This Row],[h_hargasebelumdiskon]]="","",IF(Table1[[#This Row],[Column15]]="",0,(Table1[[#This Row],[h_hargasebelumdiskon]]-Table1[[#This Row],[h_disc 1]])*Table1[[#This Row],[Column15]]))</f>
        <v/>
      </c>
      <c r="AB544" s="237" t="str">
        <f>IF(Table1[[#This Row],[Column12]]="","",Table1[[#This Row],[h_disc 1]]+Table1[[#This Row],[h_disc 2]])</f>
        <v/>
      </c>
      <c r="AC544" s="237" t="str">
        <f>IF(Table1[[#This Row],[Column12]]="","",Table1[[#This Row],[h_hargasebelumdiskon]]-Table1[[#This Row],[h_diskon]])</f>
        <v/>
      </c>
      <c r="AD544" s="237" t="str">
        <f ca="1">IF(Table1[[#This Row],[//]]="","",SUMIF(Table1[h_id],Table1[[#This Row],[h_id]],Table1[h_hargasetelahdiskon]))</f>
        <v/>
      </c>
      <c r="AF544" s="237" t="str">
        <f>Table1[[#This Row],[Column12]]&amp;Table1[[#This Row],[Unit]]&amp;Table1[[#This Row],[Column13]]</f>
        <v/>
      </c>
      <c r="AG544"/>
      <c r="AH544"/>
      <c r="AI544"/>
    </row>
    <row r="545" spans="1:35">
      <c r="A545" s="234" t="str">
        <f ca="1">IF(Table1[[#This Row],[No. Invoice :]]="","",ROW())</f>
        <v/>
      </c>
      <c r="B545" s="234" t="str">
        <f ca="1">IF(Table1[[#This Row],[Column3]]="","",B$1+COUNT(INDIRECT("B$2:B"&amp;ROW()-1)))</f>
        <v/>
      </c>
      <c r="C545" s="235" t="str">
        <f>IF(Table1[[#This Row],[Column2]]="","",Table1[[#This Row],[Column2]]+C$1-1)</f>
        <v/>
      </c>
      <c r="E545" s="236"/>
      <c r="F545" s="234"/>
      <c r="G545" s="234" t="str">
        <f ca="1">IF(Table1[[#This Row],[h_No. Invoice :]]="","",CONCATENATE("AM"," ",Table1[[#This Row],[h_No. Invoice :]]))</f>
        <v/>
      </c>
      <c r="H545" s="234" t="str">
        <f>IF(Table1[[#This Row],[Column5]]="","",INDEX(Table2[Column1],MATCH(Table1[[#This Row],[Column5]],Table2[a],0)))</f>
        <v/>
      </c>
      <c r="I545" s="234" t="str">
        <f>IF(Table1[[#This Row],[Column3]]=0,"",CONCATENATE(UPPER(Table1[[#This Row],[Column3]])," ",Table1[[#This Row],[Column4]]))</f>
        <v xml:space="preserve"> </v>
      </c>
      <c r="J545" s="234" t="str">
        <f>IF(Table1[[#This Row],[Column5]]="","",INDEX(Table2[e],IF(Table1[[#This Row],[Column5]]="","",MATCH(Table1[[#This Row],[Column5]],Table2[a],0)),))</f>
        <v/>
      </c>
      <c r="K545" s="234"/>
      <c r="L545" s="234"/>
      <c r="O545" s="234" t="str">
        <f>IF(Table1[[#This Row],[h_Item Description]]="","",INDEX([1]!db[NB PAJAK],MATCH(Table1[[#This Row],[h_Item Description]],[1]!db[kode],0)))</f>
        <v/>
      </c>
      <c r="Q545" s="237"/>
      <c r="R545" s="238"/>
      <c r="S545" s="238"/>
      <c r="T545" s="237" t="str">
        <f>Table1[[#This Row],[h_hargasetelahdiskon]]</f>
        <v/>
      </c>
      <c r="V545" s="234"/>
      <c r="W545" s="234" t="str">
        <f ca="1">IF(Table1[[#This Row],[Column12]]="","",IF(Table1[[#This Row],[//]]="",INDIRECT(ADDRESS(ROW()-1,COLUMN())),Table1[[#This Row],[//]]))</f>
        <v/>
      </c>
      <c r="X545" s="234" t="str">
        <f ca="1">IF(Table1[[#This Row],[h_id]]="","",COUNTIF(Table1[h_id],Table1[[#This Row],[h_id]]))</f>
        <v/>
      </c>
      <c r="Y545" s="237" t="str">
        <f>IF(Table1[[#This Row],[Column12]]="","",Table1[[#This Row],[Qty]]*Table1[[#This Row],[Column13]])</f>
        <v/>
      </c>
      <c r="Z545" s="237" t="str">
        <f>IF(Table1[[#This Row],[h_hargasebelumdiskon]]="","",IF(Table1[[#This Row],[Column14]]="",0,Table1[[#This Row],[h_hargasebelumdiskon]]*Table1[[#This Row],[Column14]]))</f>
        <v/>
      </c>
      <c r="AA545" s="237" t="str">
        <f>IF(Table1[[#This Row],[h_hargasebelumdiskon]]="","",IF(Table1[[#This Row],[Column15]]="",0,(Table1[[#This Row],[h_hargasebelumdiskon]]-Table1[[#This Row],[h_disc 1]])*Table1[[#This Row],[Column15]]))</f>
        <v/>
      </c>
      <c r="AB545" s="237" t="str">
        <f>IF(Table1[[#This Row],[Column12]]="","",Table1[[#This Row],[h_disc 1]]+Table1[[#This Row],[h_disc 2]])</f>
        <v/>
      </c>
      <c r="AC545" s="237" t="str">
        <f>IF(Table1[[#This Row],[Column12]]="","",Table1[[#This Row],[h_hargasebelumdiskon]]-Table1[[#This Row],[h_diskon]])</f>
        <v/>
      </c>
      <c r="AD545" s="237" t="str">
        <f ca="1">IF(Table1[[#This Row],[//]]="","",SUMIF(Table1[h_id],Table1[[#This Row],[h_id]],Table1[h_hargasetelahdiskon]))</f>
        <v/>
      </c>
      <c r="AF545" s="237" t="str">
        <f>Table1[[#This Row],[Column12]]&amp;Table1[[#This Row],[Unit]]&amp;Table1[[#This Row],[Column13]]</f>
        <v/>
      </c>
      <c r="AG545"/>
      <c r="AH545"/>
      <c r="AI545"/>
    </row>
    <row r="546" spans="1:35">
      <c r="A546" s="234" t="str">
        <f ca="1">IF(Table1[[#This Row],[No. Invoice :]]="","",ROW())</f>
        <v/>
      </c>
      <c r="B546" s="234" t="str">
        <f ca="1">IF(Table1[[#This Row],[Column3]]="","",B$1+COUNT(INDIRECT("B$2:B"&amp;ROW()-1)))</f>
        <v/>
      </c>
      <c r="C546" s="235" t="str">
        <f>IF(Table1[[#This Row],[Column2]]="","",Table1[[#This Row],[Column2]]+C$1-1)</f>
        <v/>
      </c>
      <c r="E546" s="236"/>
      <c r="F546" s="234"/>
      <c r="G546" s="234" t="str">
        <f ca="1">IF(Table1[[#This Row],[h_No. Invoice :]]="","",CONCATENATE("AM"," ",Table1[[#This Row],[h_No. Invoice :]]))</f>
        <v/>
      </c>
      <c r="H546" s="234" t="str">
        <f>IF(Table1[[#This Row],[Column5]]="","",INDEX(Table2[Column1],MATCH(Table1[[#This Row],[Column5]],Table2[a],0)))</f>
        <v/>
      </c>
      <c r="I546" s="234" t="str">
        <f>IF(Table1[[#This Row],[Column3]]=0,"",CONCATENATE(UPPER(Table1[[#This Row],[Column3]])," ",Table1[[#This Row],[Column4]]))</f>
        <v xml:space="preserve"> </v>
      </c>
      <c r="J546" s="234" t="str">
        <f>IF(Table1[[#This Row],[Column5]]="","",INDEX(Table2[e],IF(Table1[[#This Row],[Column5]]="","",MATCH(Table1[[#This Row],[Column5]],Table2[a],0)),))</f>
        <v/>
      </c>
      <c r="K546" s="234"/>
      <c r="L546" s="234"/>
      <c r="O546" s="234" t="str">
        <f>IF(Table1[[#This Row],[h_Item Description]]="","",INDEX([1]!db[NB PAJAK],MATCH(Table1[[#This Row],[h_Item Description]],[1]!db[kode],0)))</f>
        <v/>
      </c>
      <c r="Q546" s="237"/>
      <c r="R546" s="238"/>
      <c r="S546" s="238"/>
      <c r="T546" s="237" t="str">
        <f>Table1[[#This Row],[h_hargasetelahdiskon]]</f>
        <v/>
      </c>
      <c r="V546" s="234"/>
      <c r="W546" s="234" t="str">
        <f ca="1">IF(Table1[[#This Row],[Column12]]="","",IF(Table1[[#This Row],[//]]="",INDIRECT(ADDRESS(ROW()-1,COLUMN())),Table1[[#This Row],[//]]))</f>
        <v/>
      </c>
      <c r="X546" s="234" t="str">
        <f ca="1">IF(Table1[[#This Row],[h_id]]="","",COUNTIF(Table1[h_id],Table1[[#This Row],[h_id]]))</f>
        <v/>
      </c>
      <c r="Y546" s="237" t="str">
        <f>IF(Table1[[#This Row],[Column12]]="","",Table1[[#This Row],[Qty]]*Table1[[#This Row],[Column13]])</f>
        <v/>
      </c>
      <c r="Z546" s="237" t="str">
        <f>IF(Table1[[#This Row],[h_hargasebelumdiskon]]="","",IF(Table1[[#This Row],[Column14]]="",0,Table1[[#This Row],[h_hargasebelumdiskon]]*Table1[[#This Row],[Column14]]))</f>
        <v/>
      </c>
      <c r="AA546" s="237" t="str">
        <f>IF(Table1[[#This Row],[h_hargasebelumdiskon]]="","",IF(Table1[[#This Row],[Column15]]="",0,(Table1[[#This Row],[h_hargasebelumdiskon]]-Table1[[#This Row],[h_disc 1]])*Table1[[#This Row],[Column15]]))</f>
        <v/>
      </c>
      <c r="AB546" s="237" t="str">
        <f>IF(Table1[[#This Row],[Column12]]="","",Table1[[#This Row],[h_disc 1]]+Table1[[#This Row],[h_disc 2]])</f>
        <v/>
      </c>
      <c r="AC546" s="237" t="str">
        <f>IF(Table1[[#This Row],[Column12]]="","",Table1[[#This Row],[h_hargasebelumdiskon]]-Table1[[#This Row],[h_diskon]])</f>
        <v/>
      </c>
      <c r="AD546" s="237" t="str">
        <f ca="1">IF(Table1[[#This Row],[//]]="","",SUMIF(Table1[h_id],Table1[[#This Row],[h_id]],Table1[h_hargasetelahdiskon]))</f>
        <v/>
      </c>
      <c r="AF546" s="237" t="str">
        <f>Table1[[#This Row],[Column12]]&amp;Table1[[#This Row],[Unit]]&amp;Table1[[#This Row],[Column13]]</f>
        <v/>
      </c>
      <c r="AG546"/>
      <c r="AH546"/>
      <c r="AI546"/>
    </row>
    <row r="547" spans="1:35">
      <c r="A547" s="234" t="str">
        <f ca="1">IF(Table1[[#This Row],[No. Invoice :]]="","",ROW())</f>
        <v/>
      </c>
      <c r="B547" s="234" t="str">
        <f ca="1">IF(Table1[[#This Row],[Column3]]="","",B$1+COUNT(INDIRECT("B$2:B"&amp;ROW()-1)))</f>
        <v/>
      </c>
      <c r="C547" s="235" t="str">
        <f>IF(Table1[[#This Row],[Column2]]="","",Table1[[#This Row],[Column2]]+C$1-1)</f>
        <v/>
      </c>
      <c r="E547" s="236"/>
      <c r="F547" s="234"/>
      <c r="G547" s="234" t="str">
        <f ca="1">IF(Table1[[#This Row],[h_No. Invoice :]]="","",CONCATENATE("AM"," ",Table1[[#This Row],[h_No. Invoice :]]))</f>
        <v/>
      </c>
      <c r="H547" s="234" t="str">
        <f>IF(Table1[[#This Row],[Column5]]="","",INDEX(Table2[Column1],MATCH(Table1[[#This Row],[Column5]],Table2[a],0)))</f>
        <v/>
      </c>
      <c r="I547" s="234" t="str">
        <f>IF(Table1[[#This Row],[Column3]]=0,"",CONCATENATE(UPPER(Table1[[#This Row],[Column3]])," ",Table1[[#This Row],[Column4]]))</f>
        <v xml:space="preserve"> </v>
      </c>
      <c r="J547" s="234" t="str">
        <f>IF(Table1[[#This Row],[Column5]]="","",INDEX(Table2[e],IF(Table1[[#This Row],[Column5]]="","",MATCH(Table1[[#This Row],[Column5]],Table2[a],0)),))</f>
        <v/>
      </c>
      <c r="K547" s="234"/>
      <c r="L547" s="234"/>
      <c r="O547" s="234" t="str">
        <f>IF(Table1[[#This Row],[h_Item Description]]="","",INDEX([1]!db[NB PAJAK],MATCH(Table1[[#This Row],[h_Item Description]],[1]!db[kode],0)))</f>
        <v/>
      </c>
      <c r="Q547" s="237"/>
      <c r="R547" s="238"/>
      <c r="S547" s="238"/>
      <c r="T547" s="237" t="str">
        <f>Table1[[#This Row],[h_hargasetelahdiskon]]</f>
        <v/>
      </c>
      <c r="V547" s="234"/>
      <c r="W547" s="234" t="str">
        <f ca="1">IF(Table1[[#This Row],[Column12]]="","",IF(Table1[[#This Row],[//]]="",INDIRECT(ADDRESS(ROW()-1,COLUMN())),Table1[[#This Row],[//]]))</f>
        <v/>
      </c>
      <c r="X547" s="234" t="str">
        <f ca="1">IF(Table1[[#This Row],[h_id]]="","",COUNTIF(Table1[h_id],Table1[[#This Row],[h_id]]))</f>
        <v/>
      </c>
      <c r="Y547" s="237" t="str">
        <f>IF(Table1[[#This Row],[Column12]]="","",Table1[[#This Row],[Qty]]*Table1[[#This Row],[Column13]])</f>
        <v/>
      </c>
      <c r="Z547" s="237" t="str">
        <f>IF(Table1[[#This Row],[h_hargasebelumdiskon]]="","",IF(Table1[[#This Row],[Column14]]="",0,Table1[[#This Row],[h_hargasebelumdiskon]]*Table1[[#This Row],[Column14]]))</f>
        <v/>
      </c>
      <c r="AA547" s="237" t="str">
        <f>IF(Table1[[#This Row],[h_hargasebelumdiskon]]="","",IF(Table1[[#This Row],[Column15]]="",0,(Table1[[#This Row],[h_hargasebelumdiskon]]-Table1[[#This Row],[h_disc 1]])*Table1[[#This Row],[Column15]]))</f>
        <v/>
      </c>
      <c r="AB547" s="237" t="str">
        <f>IF(Table1[[#This Row],[Column12]]="","",Table1[[#This Row],[h_disc 1]]+Table1[[#This Row],[h_disc 2]])</f>
        <v/>
      </c>
      <c r="AC547" s="237" t="str">
        <f>IF(Table1[[#This Row],[Column12]]="","",Table1[[#This Row],[h_hargasebelumdiskon]]-Table1[[#This Row],[h_diskon]])</f>
        <v/>
      </c>
      <c r="AD547" s="237" t="str">
        <f ca="1">IF(Table1[[#This Row],[//]]="","",SUMIF(Table1[h_id],Table1[[#This Row],[h_id]],Table1[h_hargasetelahdiskon]))</f>
        <v/>
      </c>
      <c r="AF547" s="237" t="str">
        <f>Table1[[#This Row],[Column12]]&amp;Table1[[#This Row],[Unit]]&amp;Table1[[#This Row],[Column13]]</f>
        <v/>
      </c>
      <c r="AG547"/>
      <c r="AH547"/>
      <c r="AI547"/>
    </row>
    <row r="548" spans="1:35">
      <c r="A548" s="234" t="str">
        <f ca="1">IF(Table1[[#This Row],[No. Invoice :]]="","",ROW())</f>
        <v/>
      </c>
      <c r="B548" s="234" t="str">
        <f ca="1">IF(Table1[[#This Row],[Column3]]="","",B$1+COUNT(INDIRECT("B$2:B"&amp;ROW()-1)))</f>
        <v/>
      </c>
      <c r="C548" s="235" t="str">
        <f>IF(Table1[[#This Row],[Column2]]="","",Table1[[#This Row],[Column2]]+C$1-1)</f>
        <v/>
      </c>
      <c r="E548" s="236"/>
      <c r="F548" s="234"/>
      <c r="G548" s="234" t="str">
        <f ca="1">IF(Table1[[#This Row],[h_No. Invoice :]]="","",CONCATENATE("AM"," ",Table1[[#This Row],[h_No. Invoice :]]))</f>
        <v/>
      </c>
      <c r="H548" s="234" t="str">
        <f>IF(Table1[[#This Row],[Column5]]="","",INDEX(Table2[Column1],MATCH(Table1[[#This Row],[Column5]],Table2[a],0)))</f>
        <v/>
      </c>
      <c r="I548" s="234" t="str">
        <f>IF(Table1[[#This Row],[Column3]]=0,"",CONCATENATE(UPPER(Table1[[#This Row],[Column3]])," ",Table1[[#This Row],[Column4]]))</f>
        <v xml:space="preserve"> </v>
      </c>
      <c r="J548" s="234" t="str">
        <f>IF(Table1[[#This Row],[Column5]]="","",INDEX(Table2[e],IF(Table1[[#This Row],[Column5]]="","",MATCH(Table1[[#This Row],[Column5]],Table2[a],0)),))</f>
        <v/>
      </c>
      <c r="K548" s="234"/>
      <c r="L548" s="234"/>
      <c r="O548" s="234" t="str">
        <f>IF(Table1[[#This Row],[h_Item Description]]="","",INDEX([1]!db[NB PAJAK],MATCH(Table1[[#This Row],[h_Item Description]],[1]!db[kode],0)))</f>
        <v/>
      </c>
      <c r="Q548" s="237"/>
      <c r="R548" s="238"/>
      <c r="S548" s="238"/>
      <c r="T548" s="237" t="str">
        <f>Table1[[#This Row],[h_hargasetelahdiskon]]</f>
        <v/>
      </c>
      <c r="V548" s="234"/>
      <c r="W548" s="234" t="str">
        <f ca="1">IF(Table1[[#This Row],[Column12]]="","",IF(Table1[[#This Row],[//]]="",INDIRECT(ADDRESS(ROW()-1,COLUMN())),Table1[[#This Row],[//]]))</f>
        <v/>
      </c>
      <c r="X548" s="234" t="str">
        <f ca="1">IF(Table1[[#This Row],[h_id]]="","",COUNTIF(Table1[h_id],Table1[[#This Row],[h_id]]))</f>
        <v/>
      </c>
      <c r="Y548" s="237" t="str">
        <f>IF(Table1[[#This Row],[Column12]]="","",Table1[[#This Row],[Qty]]*Table1[[#This Row],[Column13]])</f>
        <v/>
      </c>
      <c r="Z548" s="237" t="str">
        <f>IF(Table1[[#This Row],[h_hargasebelumdiskon]]="","",IF(Table1[[#This Row],[Column14]]="",0,Table1[[#This Row],[h_hargasebelumdiskon]]*Table1[[#This Row],[Column14]]))</f>
        <v/>
      </c>
      <c r="AA548" s="237" t="str">
        <f>IF(Table1[[#This Row],[h_hargasebelumdiskon]]="","",IF(Table1[[#This Row],[Column15]]="",0,(Table1[[#This Row],[h_hargasebelumdiskon]]-Table1[[#This Row],[h_disc 1]])*Table1[[#This Row],[Column15]]))</f>
        <v/>
      </c>
      <c r="AB548" s="237" t="str">
        <f>IF(Table1[[#This Row],[Column12]]="","",Table1[[#This Row],[h_disc 1]]+Table1[[#This Row],[h_disc 2]])</f>
        <v/>
      </c>
      <c r="AC548" s="237" t="str">
        <f>IF(Table1[[#This Row],[Column12]]="","",Table1[[#This Row],[h_hargasebelumdiskon]]-Table1[[#This Row],[h_diskon]])</f>
        <v/>
      </c>
      <c r="AD548" s="237" t="str">
        <f ca="1">IF(Table1[[#This Row],[//]]="","",SUMIF(Table1[h_id],Table1[[#This Row],[h_id]],Table1[h_hargasetelahdiskon]))</f>
        <v/>
      </c>
      <c r="AF548" s="237" t="str">
        <f>Table1[[#This Row],[Column12]]&amp;Table1[[#This Row],[Unit]]&amp;Table1[[#This Row],[Column13]]</f>
        <v/>
      </c>
      <c r="AG548"/>
      <c r="AH548"/>
      <c r="AI548"/>
    </row>
    <row r="549" spans="1:35">
      <c r="A549" s="234" t="str">
        <f ca="1">IF(Table1[[#This Row],[No. Invoice :]]="","",ROW())</f>
        <v/>
      </c>
      <c r="B549" s="234" t="str">
        <f ca="1">IF(Table1[[#This Row],[Column3]]="","",B$1+COUNT(INDIRECT("B$2:B"&amp;ROW()-1)))</f>
        <v/>
      </c>
      <c r="C549" s="235" t="str">
        <f>IF(Table1[[#This Row],[Column2]]="","",Table1[[#This Row],[Column2]]+C$1-1)</f>
        <v/>
      </c>
      <c r="E549" s="236"/>
      <c r="F549" s="234"/>
      <c r="G549" s="234" t="str">
        <f ca="1">IF(Table1[[#This Row],[h_No. Invoice :]]="","",CONCATENATE("AM"," ",Table1[[#This Row],[h_No. Invoice :]]))</f>
        <v/>
      </c>
      <c r="H549" s="234" t="str">
        <f>IF(Table1[[#This Row],[Column5]]="","",INDEX(Table2[Column1],MATCH(Table1[[#This Row],[Column5]],Table2[a],0)))</f>
        <v/>
      </c>
      <c r="I549" s="234" t="str">
        <f>IF(Table1[[#This Row],[Column3]]=0,"",CONCATENATE(UPPER(Table1[[#This Row],[Column3]])," ",Table1[[#This Row],[Column4]]))</f>
        <v xml:space="preserve"> </v>
      </c>
      <c r="J549" s="234" t="str">
        <f>IF(Table1[[#This Row],[Column5]]="","",INDEX(Table2[e],IF(Table1[[#This Row],[Column5]]="","",MATCH(Table1[[#This Row],[Column5]],Table2[a],0)),))</f>
        <v/>
      </c>
      <c r="K549" s="234"/>
      <c r="L549" s="234"/>
      <c r="O549" s="234" t="str">
        <f>IF(Table1[[#This Row],[h_Item Description]]="","",INDEX([1]!db[NB PAJAK],MATCH(Table1[[#This Row],[h_Item Description]],[1]!db[kode],0)))</f>
        <v/>
      </c>
      <c r="Q549" s="237"/>
      <c r="R549" s="238"/>
      <c r="S549" s="238"/>
      <c r="T549" s="237" t="str">
        <f>Table1[[#This Row],[h_hargasetelahdiskon]]</f>
        <v/>
      </c>
      <c r="V549" s="234"/>
      <c r="W549" s="234" t="str">
        <f ca="1">IF(Table1[[#This Row],[Column12]]="","",IF(Table1[[#This Row],[//]]="",INDIRECT(ADDRESS(ROW()-1,COLUMN())),Table1[[#This Row],[//]]))</f>
        <v/>
      </c>
      <c r="X549" s="234" t="str">
        <f ca="1">IF(Table1[[#This Row],[h_id]]="","",COUNTIF(Table1[h_id],Table1[[#This Row],[h_id]]))</f>
        <v/>
      </c>
      <c r="Y549" s="237" t="str">
        <f>IF(Table1[[#This Row],[Column12]]="","",Table1[[#This Row],[Qty]]*Table1[[#This Row],[Column13]])</f>
        <v/>
      </c>
      <c r="Z549" s="237" t="str">
        <f>IF(Table1[[#This Row],[h_hargasebelumdiskon]]="","",IF(Table1[[#This Row],[Column14]]="",0,Table1[[#This Row],[h_hargasebelumdiskon]]*Table1[[#This Row],[Column14]]))</f>
        <v/>
      </c>
      <c r="AA549" s="237" t="str">
        <f>IF(Table1[[#This Row],[h_hargasebelumdiskon]]="","",IF(Table1[[#This Row],[Column15]]="",0,(Table1[[#This Row],[h_hargasebelumdiskon]]-Table1[[#This Row],[h_disc 1]])*Table1[[#This Row],[Column15]]))</f>
        <v/>
      </c>
      <c r="AB549" s="237" t="str">
        <f>IF(Table1[[#This Row],[Column12]]="","",Table1[[#This Row],[h_disc 1]]+Table1[[#This Row],[h_disc 2]])</f>
        <v/>
      </c>
      <c r="AC549" s="237" t="str">
        <f>IF(Table1[[#This Row],[Column12]]="","",Table1[[#This Row],[h_hargasebelumdiskon]]-Table1[[#This Row],[h_diskon]])</f>
        <v/>
      </c>
      <c r="AD549" s="237" t="str">
        <f ca="1">IF(Table1[[#This Row],[//]]="","",SUMIF(Table1[h_id],Table1[[#This Row],[h_id]],Table1[h_hargasetelahdiskon]))</f>
        <v/>
      </c>
      <c r="AF549" s="237" t="str">
        <f>Table1[[#This Row],[Column12]]&amp;Table1[[#This Row],[Unit]]&amp;Table1[[#This Row],[Column13]]</f>
        <v/>
      </c>
      <c r="AG549"/>
      <c r="AH549"/>
      <c r="AI549"/>
    </row>
    <row r="550" spans="1:35">
      <c r="A550" s="234" t="str">
        <f ca="1">IF(Table1[[#This Row],[No. Invoice :]]="","",ROW())</f>
        <v/>
      </c>
      <c r="B550" s="234" t="str">
        <f ca="1">IF(Table1[[#This Row],[Column3]]="","",B$1+COUNT(INDIRECT("B$2:B"&amp;ROW()-1)))</f>
        <v/>
      </c>
      <c r="C550" s="235" t="str">
        <f>IF(Table1[[#This Row],[Column2]]="","",Table1[[#This Row],[Column2]]+C$1-1)</f>
        <v/>
      </c>
      <c r="E550" s="236"/>
      <c r="F550" s="234"/>
      <c r="G550" s="234" t="str">
        <f ca="1">IF(Table1[[#This Row],[h_No. Invoice :]]="","",CONCATENATE("AM"," ",Table1[[#This Row],[h_No. Invoice :]]))</f>
        <v/>
      </c>
      <c r="H550" s="234" t="str">
        <f>IF(Table1[[#This Row],[Column5]]="","",INDEX(Table2[Column1],MATCH(Table1[[#This Row],[Column5]],Table2[a],0)))</f>
        <v/>
      </c>
      <c r="I550" s="234" t="str">
        <f>IF(Table1[[#This Row],[Column3]]=0,"",CONCATENATE(UPPER(Table1[[#This Row],[Column3]])," ",Table1[[#This Row],[Column4]]))</f>
        <v xml:space="preserve"> </v>
      </c>
      <c r="J550" s="234" t="str">
        <f>IF(Table1[[#This Row],[Column5]]="","",INDEX(Table2[e],IF(Table1[[#This Row],[Column5]]="","",MATCH(Table1[[#This Row],[Column5]],Table2[a],0)),))</f>
        <v/>
      </c>
      <c r="K550" s="234"/>
      <c r="L550" s="234"/>
      <c r="O550" s="234" t="str">
        <f>IF(Table1[[#This Row],[h_Item Description]]="","",INDEX([1]!db[NB PAJAK],MATCH(Table1[[#This Row],[h_Item Description]],[1]!db[kode],0)))</f>
        <v/>
      </c>
      <c r="Q550" s="237"/>
      <c r="R550" s="238"/>
      <c r="S550" s="238"/>
      <c r="T550" s="237" t="str">
        <f>Table1[[#This Row],[h_hargasetelahdiskon]]</f>
        <v/>
      </c>
      <c r="V550" s="234"/>
      <c r="W550" s="234" t="str">
        <f ca="1">IF(Table1[[#This Row],[Column12]]="","",IF(Table1[[#This Row],[//]]="",INDIRECT(ADDRESS(ROW()-1,COLUMN())),Table1[[#This Row],[//]]))</f>
        <v/>
      </c>
      <c r="X550" s="234" t="str">
        <f ca="1">IF(Table1[[#This Row],[h_id]]="","",COUNTIF(Table1[h_id],Table1[[#This Row],[h_id]]))</f>
        <v/>
      </c>
      <c r="Y550" s="237" t="str">
        <f>IF(Table1[[#This Row],[Column12]]="","",Table1[[#This Row],[Qty]]*Table1[[#This Row],[Column13]])</f>
        <v/>
      </c>
      <c r="Z550" s="237" t="str">
        <f>IF(Table1[[#This Row],[h_hargasebelumdiskon]]="","",IF(Table1[[#This Row],[Column14]]="",0,Table1[[#This Row],[h_hargasebelumdiskon]]*Table1[[#This Row],[Column14]]))</f>
        <v/>
      </c>
      <c r="AA550" s="237" t="str">
        <f>IF(Table1[[#This Row],[h_hargasebelumdiskon]]="","",IF(Table1[[#This Row],[Column15]]="",0,(Table1[[#This Row],[h_hargasebelumdiskon]]-Table1[[#This Row],[h_disc 1]])*Table1[[#This Row],[Column15]]))</f>
        <v/>
      </c>
      <c r="AB550" s="237" t="str">
        <f>IF(Table1[[#This Row],[Column12]]="","",Table1[[#This Row],[h_disc 1]]+Table1[[#This Row],[h_disc 2]])</f>
        <v/>
      </c>
      <c r="AC550" s="237" t="str">
        <f>IF(Table1[[#This Row],[Column12]]="","",Table1[[#This Row],[h_hargasebelumdiskon]]-Table1[[#This Row],[h_diskon]])</f>
        <v/>
      </c>
      <c r="AD550" s="237" t="str">
        <f ca="1">IF(Table1[[#This Row],[//]]="","",SUMIF(Table1[h_id],Table1[[#This Row],[h_id]],Table1[h_hargasetelahdiskon]))</f>
        <v/>
      </c>
      <c r="AF550" s="237" t="str">
        <f>Table1[[#This Row],[Column12]]&amp;Table1[[#This Row],[Unit]]&amp;Table1[[#This Row],[Column13]]</f>
        <v/>
      </c>
      <c r="AG550"/>
      <c r="AH550"/>
      <c r="AI550"/>
    </row>
    <row r="551" spans="1:35">
      <c r="A551" s="234" t="str">
        <f ca="1">IF(Table1[[#This Row],[No. Invoice :]]="","",ROW())</f>
        <v/>
      </c>
      <c r="B551" s="234" t="str">
        <f ca="1">IF(Table1[[#This Row],[Column3]]="","",B$1+COUNT(INDIRECT("B$2:B"&amp;ROW()-1)))</f>
        <v/>
      </c>
      <c r="C551" s="235" t="str">
        <f>IF(Table1[[#This Row],[Column2]]="","",Table1[[#This Row],[Column2]]+C$1-1)</f>
        <v/>
      </c>
      <c r="E551" s="236"/>
      <c r="F551" s="234"/>
      <c r="G551" s="234" t="str">
        <f ca="1">IF(Table1[[#This Row],[h_No. Invoice :]]="","",CONCATENATE("AM"," ",Table1[[#This Row],[h_No. Invoice :]]))</f>
        <v/>
      </c>
      <c r="H551" s="234" t="str">
        <f>IF(Table1[[#This Row],[Column5]]="","",INDEX(Table2[Column1],MATCH(Table1[[#This Row],[Column5]],Table2[a],0)))</f>
        <v/>
      </c>
      <c r="I551" s="234" t="str">
        <f>IF(Table1[[#This Row],[Column3]]=0,"",CONCATENATE(UPPER(Table1[[#This Row],[Column3]])," ",Table1[[#This Row],[Column4]]))</f>
        <v xml:space="preserve"> </v>
      </c>
      <c r="J551" s="234" t="str">
        <f>IF(Table1[[#This Row],[Column5]]="","",INDEX(Table2[e],IF(Table1[[#This Row],[Column5]]="","",MATCH(Table1[[#This Row],[Column5]],Table2[a],0)),))</f>
        <v/>
      </c>
      <c r="K551" s="234"/>
      <c r="L551" s="234"/>
      <c r="O551" s="234" t="str">
        <f>IF(Table1[[#This Row],[h_Item Description]]="","",INDEX([1]!db[NB PAJAK],MATCH(Table1[[#This Row],[h_Item Description]],[1]!db[kode],0)))</f>
        <v/>
      </c>
      <c r="Q551" s="237"/>
      <c r="R551" s="238"/>
      <c r="S551" s="238"/>
      <c r="T551" s="237" t="str">
        <f>Table1[[#This Row],[h_hargasetelahdiskon]]</f>
        <v/>
      </c>
      <c r="V551" s="234"/>
      <c r="W551" s="234" t="str">
        <f ca="1">IF(Table1[[#This Row],[Column12]]="","",IF(Table1[[#This Row],[//]]="",INDIRECT(ADDRESS(ROW()-1,COLUMN())),Table1[[#This Row],[//]]))</f>
        <v/>
      </c>
      <c r="X551" s="234" t="str">
        <f ca="1">IF(Table1[[#This Row],[h_id]]="","",COUNTIF(Table1[h_id],Table1[[#This Row],[h_id]]))</f>
        <v/>
      </c>
      <c r="Y551" s="237" t="str">
        <f>IF(Table1[[#This Row],[Column12]]="","",Table1[[#This Row],[Qty]]*Table1[[#This Row],[Column13]])</f>
        <v/>
      </c>
      <c r="Z551" s="237" t="str">
        <f>IF(Table1[[#This Row],[h_hargasebelumdiskon]]="","",IF(Table1[[#This Row],[Column14]]="",0,Table1[[#This Row],[h_hargasebelumdiskon]]*Table1[[#This Row],[Column14]]))</f>
        <v/>
      </c>
      <c r="AA551" s="237" t="str">
        <f>IF(Table1[[#This Row],[h_hargasebelumdiskon]]="","",IF(Table1[[#This Row],[Column15]]="",0,(Table1[[#This Row],[h_hargasebelumdiskon]]-Table1[[#This Row],[h_disc 1]])*Table1[[#This Row],[Column15]]))</f>
        <v/>
      </c>
      <c r="AB551" s="237" t="str">
        <f>IF(Table1[[#This Row],[Column12]]="","",Table1[[#This Row],[h_disc 1]]+Table1[[#This Row],[h_disc 2]])</f>
        <v/>
      </c>
      <c r="AC551" s="237" t="str">
        <f>IF(Table1[[#This Row],[Column12]]="","",Table1[[#This Row],[h_hargasebelumdiskon]]-Table1[[#This Row],[h_diskon]])</f>
        <v/>
      </c>
      <c r="AD551" s="237" t="str">
        <f ca="1">IF(Table1[[#This Row],[//]]="","",SUMIF(Table1[h_id],Table1[[#This Row],[h_id]],Table1[h_hargasetelahdiskon]))</f>
        <v/>
      </c>
      <c r="AF551" s="237" t="str">
        <f>Table1[[#This Row],[Column12]]&amp;Table1[[#This Row],[Unit]]&amp;Table1[[#This Row],[Column13]]</f>
        <v/>
      </c>
      <c r="AG551"/>
      <c r="AH551"/>
      <c r="AI551"/>
    </row>
    <row r="552" spans="1:35">
      <c r="A552" s="234" t="str">
        <f ca="1">IF(Table1[[#This Row],[No. Invoice :]]="","",ROW())</f>
        <v/>
      </c>
      <c r="B552" s="234" t="str">
        <f ca="1">IF(Table1[[#This Row],[Column3]]="","",B$1+COUNT(INDIRECT("B$2:B"&amp;ROW()-1)))</f>
        <v/>
      </c>
      <c r="C552" s="235" t="str">
        <f>IF(Table1[[#This Row],[Column2]]="","",Table1[[#This Row],[Column2]]+C$1-1)</f>
        <v/>
      </c>
      <c r="E552" s="236"/>
      <c r="F552" s="234"/>
      <c r="G552" s="234" t="str">
        <f ca="1">IF(Table1[[#This Row],[h_No. Invoice :]]="","",CONCATENATE("AM"," ",Table1[[#This Row],[h_No. Invoice :]]))</f>
        <v/>
      </c>
      <c r="H552" s="234" t="str">
        <f>IF(Table1[[#This Row],[Column5]]="","",INDEX(Table2[Column1],MATCH(Table1[[#This Row],[Column5]],Table2[a],0)))</f>
        <v/>
      </c>
      <c r="I552" s="234" t="str">
        <f>IF(Table1[[#This Row],[Column3]]=0,"",CONCATENATE(UPPER(Table1[[#This Row],[Column3]])," ",Table1[[#This Row],[Column4]]))</f>
        <v xml:space="preserve"> </v>
      </c>
      <c r="J552" s="234" t="str">
        <f>IF(Table1[[#This Row],[Column5]]="","",INDEX(Table2[e],IF(Table1[[#This Row],[Column5]]="","",MATCH(Table1[[#This Row],[Column5]],Table2[a],0)),))</f>
        <v/>
      </c>
      <c r="K552" s="234"/>
      <c r="L552" s="234"/>
      <c r="O552" s="234" t="str">
        <f>IF(Table1[[#This Row],[h_Item Description]]="","",INDEX([1]!db[NB PAJAK],MATCH(Table1[[#This Row],[h_Item Description]],[1]!db[kode],0)))</f>
        <v/>
      </c>
      <c r="Q552" s="237"/>
      <c r="R552" s="238"/>
      <c r="S552" s="238"/>
      <c r="T552" s="237" t="str">
        <f>Table1[[#This Row],[h_hargasetelahdiskon]]</f>
        <v/>
      </c>
      <c r="V552" s="234"/>
      <c r="W552" s="234" t="str">
        <f ca="1">IF(Table1[[#This Row],[Column12]]="","",IF(Table1[[#This Row],[//]]="",INDIRECT(ADDRESS(ROW()-1,COLUMN())),Table1[[#This Row],[//]]))</f>
        <v/>
      </c>
      <c r="X552" s="234" t="str">
        <f ca="1">IF(Table1[[#This Row],[h_id]]="","",COUNTIF(Table1[h_id],Table1[[#This Row],[h_id]]))</f>
        <v/>
      </c>
      <c r="Y552" s="237" t="str">
        <f>IF(Table1[[#This Row],[Column12]]="","",Table1[[#This Row],[Qty]]*Table1[[#This Row],[Column13]])</f>
        <v/>
      </c>
      <c r="Z552" s="237" t="str">
        <f>IF(Table1[[#This Row],[h_hargasebelumdiskon]]="","",IF(Table1[[#This Row],[Column14]]="",0,Table1[[#This Row],[h_hargasebelumdiskon]]*Table1[[#This Row],[Column14]]))</f>
        <v/>
      </c>
      <c r="AA552" s="237" t="str">
        <f>IF(Table1[[#This Row],[h_hargasebelumdiskon]]="","",IF(Table1[[#This Row],[Column15]]="",0,(Table1[[#This Row],[h_hargasebelumdiskon]]-Table1[[#This Row],[h_disc 1]])*Table1[[#This Row],[Column15]]))</f>
        <v/>
      </c>
      <c r="AB552" s="237" t="str">
        <f>IF(Table1[[#This Row],[Column12]]="","",Table1[[#This Row],[h_disc 1]]+Table1[[#This Row],[h_disc 2]])</f>
        <v/>
      </c>
      <c r="AC552" s="237" t="str">
        <f>IF(Table1[[#This Row],[Column12]]="","",Table1[[#This Row],[h_hargasebelumdiskon]]-Table1[[#This Row],[h_diskon]])</f>
        <v/>
      </c>
      <c r="AD552" s="237" t="str">
        <f ca="1">IF(Table1[[#This Row],[//]]="","",SUMIF(Table1[h_id],Table1[[#This Row],[h_id]],Table1[h_hargasetelahdiskon]))</f>
        <v/>
      </c>
      <c r="AF552" s="237" t="str">
        <f>Table1[[#This Row],[Column12]]&amp;Table1[[#This Row],[Unit]]&amp;Table1[[#This Row],[Column13]]</f>
        <v/>
      </c>
      <c r="AG552"/>
      <c r="AH552"/>
      <c r="AI552"/>
    </row>
    <row r="553" spans="1:35">
      <c r="A553" s="234" t="str">
        <f ca="1">IF(Table1[[#This Row],[No. Invoice :]]="","",ROW())</f>
        <v/>
      </c>
      <c r="B553" s="234" t="str">
        <f ca="1">IF(Table1[[#This Row],[Column3]]="","",B$1+COUNT(INDIRECT("B$2:B"&amp;ROW()-1)))</f>
        <v/>
      </c>
      <c r="C553" s="235" t="str">
        <f>IF(Table1[[#This Row],[Column2]]="","",Table1[[#This Row],[Column2]]+C$1-1)</f>
        <v/>
      </c>
      <c r="E553" s="236"/>
      <c r="F553" s="234"/>
      <c r="G553" s="234" t="str">
        <f ca="1">IF(Table1[[#This Row],[h_No. Invoice :]]="","",CONCATENATE("AM"," ",Table1[[#This Row],[h_No. Invoice :]]))</f>
        <v/>
      </c>
      <c r="H553" s="234" t="str">
        <f>IF(Table1[[#This Row],[Column5]]="","",INDEX(Table2[Column1],MATCH(Table1[[#This Row],[Column5]],Table2[a],0)))</f>
        <v/>
      </c>
      <c r="I553" s="234" t="str">
        <f>IF(Table1[[#This Row],[Column3]]=0,"",CONCATENATE(UPPER(Table1[[#This Row],[Column3]])," ",Table1[[#This Row],[Column4]]))</f>
        <v xml:space="preserve"> </v>
      </c>
      <c r="J553" s="234" t="str">
        <f>IF(Table1[[#This Row],[Column5]]="","",INDEX(Table2[e],IF(Table1[[#This Row],[Column5]]="","",MATCH(Table1[[#This Row],[Column5]],Table2[a],0)),))</f>
        <v/>
      </c>
      <c r="K553" s="234"/>
      <c r="L553" s="234"/>
      <c r="O553" s="234" t="str">
        <f>IF(Table1[[#This Row],[h_Item Description]]="","",INDEX([1]!db[NB PAJAK],MATCH(Table1[[#This Row],[h_Item Description]],[1]!db[kode],0)))</f>
        <v/>
      </c>
      <c r="Q553" s="237"/>
      <c r="R553" s="238"/>
      <c r="S553" s="238"/>
      <c r="T553" s="237" t="str">
        <f>Table1[[#This Row],[h_hargasetelahdiskon]]</f>
        <v/>
      </c>
      <c r="V553" s="234"/>
      <c r="W553" s="234" t="str">
        <f ca="1">IF(Table1[[#This Row],[Column12]]="","",IF(Table1[[#This Row],[//]]="",INDIRECT(ADDRESS(ROW()-1,COLUMN())),Table1[[#This Row],[//]]))</f>
        <v/>
      </c>
      <c r="X553" s="234" t="str">
        <f ca="1">IF(Table1[[#This Row],[h_id]]="","",COUNTIF(Table1[h_id],Table1[[#This Row],[h_id]]))</f>
        <v/>
      </c>
      <c r="Y553" s="237" t="str">
        <f>IF(Table1[[#This Row],[Column12]]="","",Table1[[#This Row],[Qty]]*Table1[[#This Row],[Column13]])</f>
        <v/>
      </c>
      <c r="Z553" s="237" t="str">
        <f>IF(Table1[[#This Row],[h_hargasebelumdiskon]]="","",IF(Table1[[#This Row],[Column14]]="",0,Table1[[#This Row],[h_hargasebelumdiskon]]*Table1[[#This Row],[Column14]]))</f>
        <v/>
      </c>
      <c r="AA553" s="237" t="str">
        <f>IF(Table1[[#This Row],[h_hargasebelumdiskon]]="","",IF(Table1[[#This Row],[Column15]]="",0,(Table1[[#This Row],[h_hargasebelumdiskon]]-Table1[[#This Row],[h_disc 1]])*Table1[[#This Row],[Column15]]))</f>
        <v/>
      </c>
      <c r="AB553" s="237" t="str">
        <f>IF(Table1[[#This Row],[Column12]]="","",Table1[[#This Row],[h_disc 1]]+Table1[[#This Row],[h_disc 2]])</f>
        <v/>
      </c>
      <c r="AC553" s="237" t="str">
        <f>IF(Table1[[#This Row],[Column12]]="","",Table1[[#This Row],[h_hargasebelumdiskon]]-Table1[[#This Row],[h_diskon]])</f>
        <v/>
      </c>
      <c r="AD553" s="237" t="str">
        <f ca="1">IF(Table1[[#This Row],[//]]="","",SUMIF(Table1[h_id],Table1[[#This Row],[h_id]],Table1[h_hargasetelahdiskon]))</f>
        <v/>
      </c>
      <c r="AF553" s="237" t="str">
        <f>Table1[[#This Row],[Column12]]&amp;Table1[[#This Row],[Unit]]&amp;Table1[[#This Row],[Column13]]</f>
        <v/>
      </c>
      <c r="AG553"/>
      <c r="AH553"/>
      <c r="AI553"/>
    </row>
    <row r="554" spans="1:35">
      <c r="A554" s="234" t="str">
        <f ca="1">IF(Table1[[#This Row],[No. Invoice :]]="","",ROW())</f>
        <v/>
      </c>
      <c r="B554" s="234" t="str">
        <f ca="1">IF(Table1[[#This Row],[Column3]]="","",B$1+COUNT(INDIRECT("B$2:B"&amp;ROW()-1)))</f>
        <v/>
      </c>
      <c r="C554" s="235" t="str">
        <f>IF(Table1[[#This Row],[Column2]]="","",Table1[[#This Row],[Column2]]+C$1-1)</f>
        <v/>
      </c>
      <c r="E554" s="236"/>
      <c r="F554" s="234"/>
      <c r="G554" s="234" t="str">
        <f ca="1">IF(Table1[[#This Row],[h_No. Invoice :]]="","",CONCATENATE("AM"," ",Table1[[#This Row],[h_No. Invoice :]]))</f>
        <v/>
      </c>
      <c r="H554" s="234" t="str">
        <f>IF(Table1[[#This Row],[Column5]]="","",INDEX(Table2[Column1],MATCH(Table1[[#This Row],[Column5]],Table2[a],0)))</f>
        <v/>
      </c>
      <c r="I554" s="234" t="str">
        <f>IF(Table1[[#This Row],[Column3]]=0,"",CONCATENATE(UPPER(Table1[[#This Row],[Column3]])," ",Table1[[#This Row],[Column4]]))</f>
        <v xml:space="preserve"> </v>
      </c>
      <c r="J554" s="234" t="str">
        <f>IF(Table1[[#This Row],[Column5]]="","",INDEX(Table2[e],IF(Table1[[#This Row],[Column5]]="","",MATCH(Table1[[#This Row],[Column5]],Table2[a],0)),))</f>
        <v/>
      </c>
      <c r="K554" s="234"/>
      <c r="L554" s="234"/>
      <c r="O554" s="234" t="str">
        <f>IF(Table1[[#This Row],[h_Item Description]]="","",INDEX([1]!db[NB PAJAK],MATCH(Table1[[#This Row],[h_Item Description]],[1]!db[kode],0)))</f>
        <v/>
      </c>
      <c r="Q554" s="237"/>
      <c r="R554" s="238"/>
      <c r="S554" s="238"/>
      <c r="T554" s="237" t="str">
        <f>Table1[[#This Row],[h_hargasetelahdiskon]]</f>
        <v/>
      </c>
      <c r="V554" s="234"/>
      <c r="W554" s="234" t="str">
        <f ca="1">IF(Table1[[#This Row],[Column12]]="","",IF(Table1[[#This Row],[//]]="",INDIRECT(ADDRESS(ROW()-1,COLUMN())),Table1[[#This Row],[//]]))</f>
        <v/>
      </c>
      <c r="X554" s="234" t="str">
        <f ca="1">IF(Table1[[#This Row],[h_id]]="","",COUNTIF(Table1[h_id],Table1[[#This Row],[h_id]]))</f>
        <v/>
      </c>
      <c r="Y554" s="237" t="str">
        <f>IF(Table1[[#This Row],[Column12]]="","",Table1[[#This Row],[Qty]]*Table1[[#This Row],[Column13]])</f>
        <v/>
      </c>
      <c r="Z554" s="237" t="str">
        <f>IF(Table1[[#This Row],[h_hargasebelumdiskon]]="","",IF(Table1[[#This Row],[Column14]]="",0,Table1[[#This Row],[h_hargasebelumdiskon]]*Table1[[#This Row],[Column14]]))</f>
        <v/>
      </c>
      <c r="AA554" s="237" t="str">
        <f>IF(Table1[[#This Row],[h_hargasebelumdiskon]]="","",IF(Table1[[#This Row],[Column15]]="",0,(Table1[[#This Row],[h_hargasebelumdiskon]]-Table1[[#This Row],[h_disc 1]])*Table1[[#This Row],[Column15]]))</f>
        <v/>
      </c>
      <c r="AB554" s="237" t="str">
        <f>IF(Table1[[#This Row],[Column12]]="","",Table1[[#This Row],[h_disc 1]]+Table1[[#This Row],[h_disc 2]])</f>
        <v/>
      </c>
      <c r="AC554" s="237" t="str">
        <f>IF(Table1[[#This Row],[Column12]]="","",Table1[[#This Row],[h_hargasebelumdiskon]]-Table1[[#This Row],[h_diskon]])</f>
        <v/>
      </c>
      <c r="AD554" s="237" t="str">
        <f ca="1">IF(Table1[[#This Row],[//]]="","",SUMIF(Table1[h_id],Table1[[#This Row],[h_id]],Table1[h_hargasetelahdiskon]))</f>
        <v/>
      </c>
      <c r="AF554" s="237" t="str">
        <f>Table1[[#This Row],[Column12]]&amp;Table1[[#This Row],[Unit]]&amp;Table1[[#This Row],[Column13]]</f>
        <v/>
      </c>
      <c r="AG554"/>
      <c r="AH554"/>
      <c r="AI554"/>
    </row>
    <row r="555" spans="1:35">
      <c r="A555" s="234" t="str">
        <f ca="1">IF(Table1[[#This Row],[No. Invoice :]]="","",ROW())</f>
        <v/>
      </c>
      <c r="B555" s="234" t="str">
        <f ca="1">IF(Table1[[#This Row],[Column3]]="","",B$1+COUNT(INDIRECT("B$2:B"&amp;ROW()-1)))</f>
        <v/>
      </c>
      <c r="C555" s="235" t="str">
        <f>IF(Table1[[#This Row],[Column2]]="","",Table1[[#This Row],[Column2]]+C$1-1)</f>
        <v/>
      </c>
      <c r="E555" s="236"/>
      <c r="F555" s="234"/>
      <c r="G555" s="234" t="str">
        <f ca="1">IF(Table1[[#This Row],[h_No. Invoice :]]="","",CONCATENATE("AM"," ",Table1[[#This Row],[h_No. Invoice :]]))</f>
        <v/>
      </c>
      <c r="H555" s="234" t="str">
        <f>IF(Table1[[#This Row],[Column5]]="","",INDEX(Table2[Column1],MATCH(Table1[[#This Row],[Column5]],Table2[a],0)))</f>
        <v/>
      </c>
      <c r="I555" s="234" t="str">
        <f>IF(Table1[[#This Row],[Column3]]=0,"",CONCATENATE(UPPER(Table1[[#This Row],[Column3]])," ",Table1[[#This Row],[Column4]]))</f>
        <v xml:space="preserve"> </v>
      </c>
      <c r="J555" s="234" t="str">
        <f>IF(Table1[[#This Row],[Column5]]="","",INDEX(Table2[e],IF(Table1[[#This Row],[Column5]]="","",MATCH(Table1[[#This Row],[Column5]],Table2[a],0)),))</f>
        <v/>
      </c>
      <c r="K555" s="234"/>
      <c r="L555" s="234"/>
      <c r="O555" s="234" t="str">
        <f>IF(Table1[[#This Row],[h_Item Description]]="","",INDEX([1]!db[NB PAJAK],MATCH(Table1[[#This Row],[h_Item Description]],[1]!db[kode],0)))</f>
        <v/>
      </c>
      <c r="Q555" s="237"/>
      <c r="R555" s="238"/>
      <c r="S555" s="238"/>
      <c r="T555" s="237" t="str">
        <f>Table1[[#This Row],[h_hargasetelahdiskon]]</f>
        <v/>
      </c>
      <c r="V555" s="234"/>
      <c r="W555" s="234" t="str">
        <f ca="1">IF(Table1[[#This Row],[Column12]]="","",IF(Table1[[#This Row],[//]]="",INDIRECT(ADDRESS(ROW()-1,COLUMN())),Table1[[#This Row],[//]]))</f>
        <v/>
      </c>
      <c r="X555" s="234" t="str">
        <f ca="1">IF(Table1[[#This Row],[h_id]]="","",COUNTIF(Table1[h_id],Table1[[#This Row],[h_id]]))</f>
        <v/>
      </c>
      <c r="Y555" s="237" t="str">
        <f>IF(Table1[[#This Row],[Column12]]="","",Table1[[#This Row],[Qty]]*Table1[[#This Row],[Column13]])</f>
        <v/>
      </c>
      <c r="Z555" s="237" t="str">
        <f>IF(Table1[[#This Row],[h_hargasebelumdiskon]]="","",IF(Table1[[#This Row],[Column14]]="",0,Table1[[#This Row],[h_hargasebelumdiskon]]*Table1[[#This Row],[Column14]]))</f>
        <v/>
      </c>
      <c r="AA555" s="237" t="str">
        <f>IF(Table1[[#This Row],[h_hargasebelumdiskon]]="","",IF(Table1[[#This Row],[Column15]]="",0,(Table1[[#This Row],[h_hargasebelumdiskon]]-Table1[[#This Row],[h_disc 1]])*Table1[[#This Row],[Column15]]))</f>
        <v/>
      </c>
      <c r="AB555" s="237" t="str">
        <f>IF(Table1[[#This Row],[Column12]]="","",Table1[[#This Row],[h_disc 1]]+Table1[[#This Row],[h_disc 2]])</f>
        <v/>
      </c>
      <c r="AC555" s="237" t="str">
        <f>IF(Table1[[#This Row],[Column12]]="","",Table1[[#This Row],[h_hargasebelumdiskon]]-Table1[[#This Row],[h_diskon]])</f>
        <v/>
      </c>
      <c r="AD555" s="237" t="str">
        <f ca="1">IF(Table1[[#This Row],[//]]="","",SUMIF(Table1[h_id],Table1[[#This Row],[h_id]],Table1[h_hargasetelahdiskon]))</f>
        <v/>
      </c>
      <c r="AF555" s="237" t="str">
        <f>Table1[[#This Row],[Column12]]&amp;Table1[[#This Row],[Unit]]&amp;Table1[[#This Row],[Column13]]</f>
        <v/>
      </c>
      <c r="AG555"/>
      <c r="AH555"/>
      <c r="AI555"/>
    </row>
    <row r="556" spans="1:35">
      <c r="A556" s="234" t="str">
        <f ca="1">IF(Table1[[#This Row],[No. Invoice :]]="","",ROW())</f>
        <v/>
      </c>
      <c r="B556" s="234" t="str">
        <f ca="1">IF(Table1[[#This Row],[Column3]]="","",B$1+COUNT(INDIRECT("B$2:B"&amp;ROW()-1)))</f>
        <v/>
      </c>
      <c r="C556" s="235" t="str">
        <f>IF(Table1[[#This Row],[Column2]]="","",Table1[[#This Row],[Column2]]+C$1-1)</f>
        <v/>
      </c>
      <c r="E556" s="236"/>
      <c r="F556" s="234"/>
      <c r="G556" s="234" t="str">
        <f ca="1">IF(Table1[[#This Row],[h_No. Invoice :]]="","",CONCATENATE("AM"," ",Table1[[#This Row],[h_No. Invoice :]]))</f>
        <v/>
      </c>
      <c r="H556" s="234" t="str">
        <f>IF(Table1[[#This Row],[Column5]]="","",INDEX(Table2[Column1],MATCH(Table1[[#This Row],[Column5]],Table2[a],0)))</f>
        <v/>
      </c>
      <c r="I556" s="234" t="str">
        <f>IF(Table1[[#This Row],[Column3]]=0,"",CONCATENATE(UPPER(Table1[[#This Row],[Column3]])," ",Table1[[#This Row],[Column4]]))</f>
        <v xml:space="preserve"> </v>
      </c>
      <c r="J556" s="234" t="str">
        <f>IF(Table1[[#This Row],[Column5]]="","",INDEX(Table2[e],IF(Table1[[#This Row],[Column5]]="","",MATCH(Table1[[#This Row],[Column5]],Table2[a],0)),))</f>
        <v/>
      </c>
      <c r="K556" s="234"/>
      <c r="L556" s="234"/>
      <c r="O556" s="234" t="str">
        <f>IF(Table1[[#This Row],[h_Item Description]]="","",INDEX([1]!db[NB PAJAK],MATCH(Table1[[#This Row],[h_Item Description]],[1]!db[kode],0)))</f>
        <v/>
      </c>
      <c r="Q556" s="237"/>
      <c r="R556" s="238"/>
      <c r="S556" s="238"/>
      <c r="T556" s="237" t="str">
        <f>Table1[[#This Row],[h_hargasetelahdiskon]]</f>
        <v/>
      </c>
      <c r="V556" s="234"/>
      <c r="W556" s="234" t="str">
        <f ca="1">IF(Table1[[#This Row],[Column12]]="","",IF(Table1[[#This Row],[//]]="",INDIRECT(ADDRESS(ROW()-1,COLUMN())),Table1[[#This Row],[//]]))</f>
        <v/>
      </c>
      <c r="X556" s="234" t="str">
        <f ca="1">IF(Table1[[#This Row],[h_id]]="","",COUNTIF(Table1[h_id],Table1[[#This Row],[h_id]]))</f>
        <v/>
      </c>
      <c r="Y556" s="237" t="str">
        <f>IF(Table1[[#This Row],[Column12]]="","",Table1[[#This Row],[Qty]]*Table1[[#This Row],[Column13]])</f>
        <v/>
      </c>
      <c r="Z556" s="237" t="str">
        <f>IF(Table1[[#This Row],[h_hargasebelumdiskon]]="","",IF(Table1[[#This Row],[Column14]]="",0,Table1[[#This Row],[h_hargasebelumdiskon]]*Table1[[#This Row],[Column14]]))</f>
        <v/>
      </c>
      <c r="AA556" s="237" t="str">
        <f>IF(Table1[[#This Row],[h_hargasebelumdiskon]]="","",IF(Table1[[#This Row],[Column15]]="",0,(Table1[[#This Row],[h_hargasebelumdiskon]]-Table1[[#This Row],[h_disc 1]])*Table1[[#This Row],[Column15]]))</f>
        <v/>
      </c>
      <c r="AB556" s="237" t="str">
        <f>IF(Table1[[#This Row],[Column12]]="","",Table1[[#This Row],[h_disc 1]]+Table1[[#This Row],[h_disc 2]])</f>
        <v/>
      </c>
      <c r="AC556" s="237" t="str">
        <f>IF(Table1[[#This Row],[Column12]]="","",Table1[[#This Row],[h_hargasebelumdiskon]]-Table1[[#This Row],[h_diskon]])</f>
        <v/>
      </c>
      <c r="AD556" s="237" t="str">
        <f ca="1">IF(Table1[[#This Row],[//]]="","",SUMIF(Table1[h_id],Table1[[#This Row],[h_id]],Table1[h_hargasetelahdiskon]))</f>
        <v/>
      </c>
      <c r="AF556" s="237" t="str">
        <f>Table1[[#This Row],[Column12]]&amp;Table1[[#This Row],[Unit]]&amp;Table1[[#This Row],[Column13]]</f>
        <v/>
      </c>
      <c r="AG556"/>
      <c r="AH556"/>
      <c r="AI556"/>
    </row>
    <row r="557" spans="1:35">
      <c r="A557" s="234" t="str">
        <f ca="1">IF(Table1[[#This Row],[No. Invoice :]]="","",ROW())</f>
        <v/>
      </c>
      <c r="B557" s="234" t="str">
        <f ca="1">IF(Table1[[#This Row],[Column3]]="","",B$1+COUNT(INDIRECT("B$2:B"&amp;ROW()-1)))</f>
        <v/>
      </c>
      <c r="C557" s="235" t="str">
        <f>IF(Table1[[#This Row],[Column2]]="","",Table1[[#This Row],[Column2]]+C$1-1)</f>
        <v/>
      </c>
      <c r="E557" s="236"/>
      <c r="F557" s="234"/>
      <c r="G557" s="234" t="str">
        <f ca="1">IF(Table1[[#This Row],[h_No. Invoice :]]="","",CONCATENATE("AM"," ",Table1[[#This Row],[h_No. Invoice :]]))</f>
        <v/>
      </c>
      <c r="H557" s="234" t="str">
        <f>IF(Table1[[#This Row],[Column5]]="","",INDEX(Table2[Column1],MATCH(Table1[[#This Row],[Column5]],Table2[a],0)))</f>
        <v/>
      </c>
      <c r="I557" s="234" t="str">
        <f>IF(Table1[[#This Row],[Column3]]=0,"",CONCATENATE(UPPER(Table1[[#This Row],[Column3]])," ",Table1[[#This Row],[Column4]]))</f>
        <v xml:space="preserve"> </v>
      </c>
      <c r="J557" s="234" t="str">
        <f>IF(Table1[[#This Row],[Column5]]="","",INDEX(Table2[e],IF(Table1[[#This Row],[Column5]]="","",MATCH(Table1[[#This Row],[Column5]],Table2[a],0)),))</f>
        <v/>
      </c>
      <c r="K557" s="234"/>
      <c r="L557" s="234"/>
      <c r="O557" s="234" t="str">
        <f>IF(Table1[[#This Row],[h_Item Description]]="","",INDEX([1]!db[NB PAJAK],MATCH(Table1[[#This Row],[h_Item Description]],[1]!db[kode],0)))</f>
        <v/>
      </c>
      <c r="Q557" s="237"/>
      <c r="R557" s="238"/>
      <c r="S557" s="238"/>
      <c r="T557" s="237" t="str">
        <f>Table1[[#This Row],[h_hargasetelahdiskon]]</f>
        <v/>
      </c>
      <c r="V557" s="234"/>
      <c r="W557" s="234" t="str">
        <f ca="1">IF(Table1[[#This Row],[Column12]]="","",IF(Table1[[#This Row],[//]]="",INDIRECT(ADDRESS(ROW()-1,COLUMN())),Table1[[#This Row],[//]]))</f>
        <v/>
      </c>
      <c r="X557" s="234" t="str">
        <f ca="1">IF(Table1[[#This Row],[h_id]]="","",COUNTIF(Table1[h_id],Table1[[#This Row],[h_id]]))</f>
        <v/>
      </c>
      <c r="Y557" s="237" t="str">
        <f>IF(Table1[[#This Row],[Column12]]="","",Table1[[#This Row],[Qty]]*Table1[[#This Row],[Column13]])</f>
        <v/>
      </c>
      <c r="Z557" s="237" t="str">
        <f>IF(Table1[[#This Row],[h_hargasebelumdiskon]]="","",IF(Table1[[#This Row],[Column14]]="",0,Table1[[#This Row],[h_hargasebelumdiskon]]*Table1[[#This Row],[Column14]]))</f>
        <v/>
      </c>
      <c r="AA557" s="237" t="str">
        <f>IF(Table1[[#This Row],[h_hargasebelumdiskon]]="","",IF(Table1[[#This Row],[Column15]]="",0,(Table1[[#This Row],[h_hargasebelumdiskon]]-Table1[[#This Row],[h_disc 1]])*Table1[[#This Row],[Column15]]))</f>
        <v/>
      </c>
      <c r="AB557" s="237" t="str">
        <f>IF(Table1[[#This Row],[Column12]]="","",Table1[[#This Row],[h_disc 1]]+Table1[[#This Row],[h_disc 2]])</f>
        <v/>
      </c>
      <c r="AC557" s="237" t="str">
        <f>IF(Table1[[#This Row],[Column12]]="","",Table1[[#This Row],[h_hargasebelumdiskon]]-Table1[[#This Row],[h_diskon]])</f>
        <v/>
      </c>
      <c r="AD557" s="237" t="str">
        <f ca="1">IF(Table1[[#This Row],[//]]="","",SUMIF(Table1[h_id],Table1[[#This Row],[h_id]],Table1[h_hargasetelahdiskon]))</f>
        <v/>
      </c>
      <c r="AF557" s="237" t="str">
        <f>Table1[[#This Row],[Column12]]&amp;Table1[[#This Row],[Unit]]&amp;Table1[[#This Row],[Column13]]</f>
        <v/>
      </c>
      <c r="AG557"/>
      <c r="AH557"/>
      <c r="AI557"/>
    </row>
    <row r="558" spans="1:35">
      <c r="A558" s="234" t="str">
        <f ca="1">IF(Table1[[#This Row],[No. Invoice :]]="","",ROW())</f>
        <v/>
      </c>
      <c r="B558" s="234" t="str">
        <f ca="1">IF(Table1[[#This Row],[Column3]]="","",B$1+COUNT(INDIRECT("B$2:B"&amp;ROW()-1)))</f>
        <v/>
      </c>
      <c r="C558" s="235" t="str">
        <f>IF(Table1[[#This Row],[Column2]]="","",Table1[[#This Row],[Column2]]+C$1-1)</f>
        <v/>
      </c>
      <c r="E558" s="236"/>
      <c r="F558" s="234"/>
      <c r="G558" s="234" t="str">
        <f ca="1">IF(Table1[[#This Row],[h_No. Invoice :]]="","",CONCATENATE("AM"," ",Table1[[#This Row],[h_No. Invoice :]]))</f>
        <v/>
      </c>
      <c r="H558" s="234" t="str">
        <f>IF(Table1[[#This Row],[Column5]]="","",INDEX(Table2[Column1],MATCH(Table1[[#This Row],[Column5]],Table2[a],0)))</f>
        <v/>
      </c>
      <c r="I558" s="234" t="str">
        <f>IF(Table1[[#This Row],[Column3]]=0,"",CONCATENATE(UPPER(Table1[[#This Row],[Column3]])," ",Table1[[#This Row],[Column4]]))</f>
        <v xml:space="preserve"> </v>
      </c>
      <c r="J558" s="234" t="str">
        <f>IF(Table1[[#This Row],[Column5]]="","",INDEX(Table2[e],IF(Table1[[#This Row],[Column5]]="","",MATCH(Table1[[#This Row],[Column5]],Table2[a],0)),))</f>
        <v/>
      </c>
      <c r="K558" s="234"/>
      <c r="L558" s="234"/>
      <c r="O558" s="234" t="str">
        <f>IF(Table1[[#This Row],[h_Item Description]]="","",INDEX([1]!db[NB PAJAK],MATCH(Table1[[#This Row],[h_Item Description]],[1]!db[kode],0)))</f>
        <v/>
      </c>
      <c r="Q558" s="237"/>
      <c r="R558" s="238"/>
      <c r="S558" s="238"/>
      <c r="T558" s="237" t="str">
        <f>Table1[[#This Row],[h_hargasetelahdiskon]]</f>
        <v/>
      </c>
      <c r="V558" s="234"/>
      <c r="W558" s="234" t="str">
        <f ca="1">IF(Table1[[#This Row],[Column12]]="","",IF(Table1[[#This Row],[//]]="",INDIRECT(ADDRESS(ROW()-1,COLUMN())),Table1[[#This Row],[//]]))</f>
        <v/>
      </c>
      <c r="X558" s="234" t="str">
        <f ca="1">IF(Table1[[#This Row],[h_id]]="","",COUNTIF(Table1[h_id],Table1[[#This Row],[h_id]]))</f>
        <v/>
      </c>
      <c r="Y558" s="237" t="str">
        <f>IF(Table1[[#This Row],[Column12]]="","",Table1[[#This Row],[Qty]]*Table1[[#This Row],[Column13]])</f>
        <v/>
      </c>
      <c r="Z558" s="237" t="str">
        <f>IF(Table1[[#This Row],[h_hargasebelumdiskon]]="","",IF(Table1[[#This Row],[Column14]]="",0,Table1[[#This Row],[h_hargasebelumdiskon]]*Table1[[#This Row],[Column14]]))</f>
        <v/>
      </c>
      <c r="AA558" s="237" t="str">
        <f>IF(Table1[[#This Row],[h_hargasebelumdiskon]]="","",IF(Table1[[#This Row],[Column15]]="",0,(Table1[[#This Row],[h_hargasebelumdiskon]]-Table1[[#This Row],[h_disc 1]])*Table1[[#This Row],[Column15]]))</f>
        <v/>
      </c>
      <c r="AB558" s="237" t="str">
        <f>IF(Table1[[#This Row],[Column12]]="","",Table1[[#This Row],[h_disc 1]]+Table1[[#This Row],[h_disc 2]])</f>
        <v/>
      </c>
      <c r="AC558" s="237" t="str">
        <f>IF(Table1[[#This Row],[Column12]]="","",Table1[[#This Row],[h_hargasebelumdiskon]]-Table1[[#This Row],[h_diskon]])</f>
        <v/>
      </c>
      <c r="AD558" s="237" t="str">
        <f ca="1">IF(Table1[[#This Row],[//]]="","",SUMIF(Table1[h_id],Table1[[#This Row],[h_id]],Table1[h_hargasetelahdiskon]))</f>
        <v/>
      </c>
      <c r="AF558" s="237" t="str">
        <f>Table1[[#This Row],[Column12]]&amp;Table1[[#This Row],[Unit]]&amp;Table1[[#This Row],[Column13]]</f>
        <v/>
      </c>
      <c r="AG558"/>
      <c r="AH558"/>
      <c r="AI558"/>
    </row>
    <row r="559" spans="1:35">
      <c r="A559" s="234" t="str">
        <f ca="1">IF(Table1[[#This Row],[No. Invoice :]]="","",ROW())</f>
        <v/>
      </c>
      <c r="B559" s="234" t="str">
        <f ca="1">IF(Table1[[#This Row],[Column3]]="","",B$1+COUNT(INDIRECT("B$2:B"&amp;ROW()-1)))</f>
        <v/>
      </c>
      <c r="C559" s="235" t="str">
        <f>IF(Table1[[#This Row],[Column2]]="","",Table1[[#This Row],[Column2]]+C$1-1)</f>
        <v/>
      </c>
      <c r="E559" s="236"/>
      <c r="F559" s="234"/>
      <c r="G559" s="234" t="str">
        <f ca="1">IF(Table1[[#This Row],[h_No. Invoice :]]="","",CONCATENATE("AM"," ",Table1[[#This Row],[h_No. Invoice :]]))</f>
        <v/>
      </c>
      <c r="H559" s="234" t="str">
        <f>IF(Table1[[#This Row],[Column5]]="","",INDEX(Table2[Column1],MATCH(Table1[[#This Row],[Column5]],Table2[a],0)))</f>
        <v/>
      </c>
      <c r="I559" s="234" t="str">
        <f>IF(Table1[[#This Row],[Column3]]=0,"",CONCATENATE(UPPER(Table1[[#This Row],[Column3]])," ",Table1[[#This Row],[Column4]]))</f>
        <v xml:space="preserve"> </v>
      </c>
      <c r="J559" s="234" t="str">
        <f>IF(Table1[[#This Row],[Column5]]="","",INDEX(Table2[e],IF(Table1[[#This Row],[Column5]]="","",MATCH(Table1[[#This Row],[Column5]],Table2[a],0)),))</f>
        <v/>
      </c>
      <c r="K559" s="234"/>
      <c r="L559" s="234"/>
      <c r="O559" s="234" t="str">
        <f>IF(Table1[[#This Row],[h_Item Description]]="","",INDEX([1]!db[NB PAJAK],MATCH(Table1[[#This Row],[h_Item Description]],[1]!db[kode],0)))</f>
        <v/>
      </c>
      <c r="Q559" s="237"/>
      <c r="R559" s="238"/>
      <c r="S559" s="238"/>
      <c r="T559" s="237" t="str">
        <f>Table1[[#This Row],[h_hargasetelahdiskon]]</f>
        <v/>
      </c>
      <c r="V559" s="234"/>
      <c r="W559" s="234" t="str">
        <f ca="1">IF(Table1[[#This Row],[Column12]]="","",IF(Table1[[#This Row],[//]]="",INDIRECT(ADDRESS(ROW()-1,COLUMN())),Table1[[#This Row],[//]]))</f>
        <v/>
      </c>
      <c r="X559" s="234" t="str">
        <f ca="1">IF(Table1[[#This Row],[h_id]]="","",COUNTIF(Table1[h_id],Table1[[#This Row],[h_id]]))</f>
        <v/>
      </c>
      <c r="Y559" s="237" t="str">
        <f>IF(Table1[[#This Row],[Column12]]="","",Table1[[#This Row],[Qty]]*Table1[[#This Row],[Column13]])</f>
        <v/>
      </c>
      <c r="Z559" s="237" t="str">
        <f>IF(Table1[[#This Row],[h_hargasebelumdiskon]]="","",IF(Table1[[#This Row],[Column14]]="",0,Table1[[#This Row],[h_hargasebelumdiskon]]*Table1[[#This Row],[Column14]]))</f>
        <v/>
      </c>
      <c r="AA559" s="237" t="str">
        <f>IF(Table1[[#This Row],[h_hargasebelumdiskon]]="","",IF(Table1[[#This Row],[Column15]]="",0,(Table1[[#This Row],[h_hargasebelumdiskon]]-Table1[[#This Row],[h_disc 1]])*Table1[[#This Row],[Column15]]))</f>
        <v/>
      </c>
      <c r="AB559" s="237" t="str">
        <f>IF(Table1[[#This Row],[Column12]]="","",Table1[[#This Row],[h_disc 1]]+Table1[[#This Row],[h_disc 2]])</f>
        <v/>
      </c>
      <c r="AC559" s="237" t="str">
        <f>IF(Table1[[#This Row],[Column12]]="","",Table1[[#This Row],[h_hargasebelumdiskon]]-Table1[[#This Row],[h_diskon]])</f>
        <v/>
      </c>
      <c r="AD559" s="237" t="str">
        <f ca="1">IF(Table1[[#This Row],[//]]="","",SUMIF(Table1[h_id],Table1[[#This Row],[h_id]],Table1[h_hargasetelahdiskon]))</f>
        <v/>
      </c>
      <c r="AF559" s="237" t="str">
        <f>Table1[[#This Row],[Column12]]&amp;Table1[[#This Row],[Unit]]&amp;Table1[[#This Row],[Column13]]</f>
        <v/>
      </c>
      <c r="AG559"/>
      <c r="AH559"/>
      <c r="AI559"/>
    </row>
    <row r="560" spans="1:35">
      <c r="A560" s="234" t="str">
        <f ca="1">IF(Table1[[#This Row],[No. Invoice :]]="","",ROW())</f>
        <v/>
      </c>
      <c r="B560" s="234" t="str">
        <f ca="1">IF(Table1[[#This Row],[Column3]]="","",B$1+COUNT(INDIRECT("B$2:B"&amp;ROW()-1)))</f>
        <v/>
      </c>
      <c r="C560" s="235" t="str">
        <f>IF(Table1[[#This Row],[Column2]]="","",Table1[[#This Row],[Column2]]+C$1-1)</f>
        <v/>
      </c>
      <c r="E560" s="236"/>
      <c r="F560" s="234"/>
      <c r="G560" s="234" t="str">
        <f ca="1">IF(Table1[[#This Row],[h_No. Invoice :]]="","",CONCATENATE("AM"," ",Table1[[#This Row],[h_No. Invoice :]]))</f>
        <v/>
      </c>
      <c r="H560" s="234" t="str">
        <f>IF(Table1[[#This Row],[Column5]]="","",INDEX(Table2[Column1],MATCH(Table1[[#This Row],[Column5]],Table2[a],0)))</f>
        <v/>
      </c>
      <c r="I560" s="234" t="str">
        <f>IF(Table1[[#This Row],[Column3]]=0,"",CONCATENATE(UPPER(Table1[[#This Row],[Column3]])," ",Table1[[#This Row],[Column4]]))</f>
        <v xml:space="preserve"> </v>
      </c>
      <c r="J560" s="234" t="str">
        <f>IF(Table1[[#This Row],[Column5]]="","",INDEX(Table2[e],IF(Table1[[#This Row],[Column5]]="","",MATCH(Table1[[#This Row],[Column5]],Table2[a],0)),))</f>
        <v/>
      </c>
      <c r="K560" s="234"/>
      <c r="L560" s="234"/>
      <c r="O560" s="234" t="str">
        <f>IF(Table1[[#This Row],[h_Item Description]]="","",INDEX([1]!db[NB PAJAK],MATCH(Table1[[#This Row],[h_Item Description]],[1]!db[kode],0)))</f>
        <v/>
      </c>
      <c r="Q560" s="237"/>
      <c r="R560" s="238"/>
      <c r="S560" s="238"/>
      <c r="T560" s="237" t="str">
        <f>Table1[[#This Row],[h_hargasetelahdiskon]]</f>
        <v/>
      </c>
      <c r="V560" s="234"/>
      <c r="W560" s="234" t="str">
        <f ca="1">IF(Table1[[#This Row],[Column12]]="","",IF(Table1[[#This Row],[//]]="",INDIRECT(ADDRESS(ROW()-1,COLUMN())),Table1[[#This Row],[//]]))</f>
        <v/>
      </c>
      <c r="X560" s="234" t="str">
        <f ca="1">IF(Table1[[#This Row],[h_id]]="","",COUNTIF(Table1[h_id],Table1[[#This Row],[h_id]]))</f>
        <v/>
      </c>
      <c r="Y560" s="237" t="str">
        <f>IF(Table1[[#This Row],[Column12]]="","",Table1[[#This Row],[Qty]]*Table1[[#This Row],[Column13]])</f>
        <v/>
      </c>
      <c r="Z560" s="237" t="str">
        <f>IF(Table1[[#This Row],[h_hargasebelumdiskon]]="","",IF(Table1[[#This Row],[Column14]]="",0,Table1[[#This Row],[h_hargasebelumdiskon]]*Table1[[#This Row],[Column14]]))</f>
        <v/>
      </c>
      <c r="AA560" s="237" t="str">
        <f>IF(Table1[[#This Row],[h_hargasebelumdiskon]]="","",IF(Table1[[#This Row],[Column15]]="",0,(Table1[[#This Row],[h_hargasebelumdiskon]]-Table1[[#This Row],[h_disc 1]])*Table1[[#This Row],[Column15]]))</f>
        <v/>
      </c>
      <c r="AB560" s="237" t="str">
        <f>IF(Table1[[#This Row],[Column12]]="","",Table1[[#This Row],[h_disc 1]]+Table1[[#This Row],[h_disc 2]])</f>
        <v/>
      </c>
      <c r="AC560" s="237" t="str">
        <f>IF(Table1[[#This Row],[Column12]]="","",Table1[[#This Row],[h_hargasebelumdiskon]]-Table1[[#This Row],[h_diskon]])</f>
        <v/>
      </c>
      <c r="AD560" s="237" t="str">
        <f ca="1">IF(Table1[[#This Row],[//]]="","",SUMIF(Table1[h_id],Table1[[#This Row],[h_id]],Table1[h_hargasetelahdiskon]))</f>
        <v/>
      </c>
      <c r="AF560" s="237" t="str">
        <f>Table1[[#This Row],[Column12]]&amp;Table1[[#This Row],[Unit]]&amp;Table1[[#This Row],[Column13]]</f>
        <v/>
      </c>
      <c r="AG560"/>
      <c r="AH560"/>
      <c r="AI560"/>
    </row>
    <row r="561" spans="1:35">
      <c r="A561" s="234" t="str">
        <f ca="1">IF(Table1[[#This Row],[No. Invoice :]]="","",ROW())</f>
        <v/>
      </c>
      <c r="B561" s="234" t="str">
        <f ca="1">IF(Table1[[#This Row],[Column3]]="","",B$1+COUNT(INDIRECT("B$2:B"&amp;ROW()-1)))</f>
        <v/>
      </c>
      <c r="C561" s="235" t="str">
        <f>IF(Table1[[#This Row],[Column2]]="","",Table1[[#This Row],[Column2]]+C$1-1)</f>
        <v/>
      </c>
      <c r="E561" s="236"/>
      <c r="F561" s="234"/>
      <c r="G561" s="234" t="str">
        <f ca="1">IF(Table1[[#This Row],[h_No. Invoice :]]="","",CONCATENATE("AM"," ",Table1[[#This Row],[h_No. Invoice :]]))</f>
        <v/>
      </c>
      <c r="H561" s="234" t="str">
        <f>IF(Table1[[#This Row],[Column5]]="","",INDEX(Table2[Column1],MATCH(Table1[[#This Row],[Column5]],Table2[a],0)))</f>
        <v/>
      </c>
      <c r="I561" s="234" t="str">
        <f>IF(Table1[[#This Row],[Column3]]=0,"",CONCATENATE(UPPER(Table1[[#This Row],[Column3]])," ",Table1[[#This Row],[Column4]]))</f>
        <v xml:space="preserve"> </v>
      </c>
      <c r="J561" s="234" t="str">
        <f>IF(Table1[[#This Row],[Column5]]="","",INDEX(Table2[e],IF(Table1[[#This Row],[Column5]]="","",MATCH(Table1[[#This Row],[Column5]],Table2[a],0)),))</f>
        <v/>
      </c>
      <c r="K561" s="234"/>
      <c r="L561" s="234"/>
      <c r="O561" s="234" t="str">
        <f>IF(Table1[[#This Row],[h_Item Description]]="","",INDEX([1]!db[NB PAJAK],MATCH(Table1[[#This Row],[h_Item Description]],[1]!db[kode],0)))</f>
        <v/>
      </c>
      <c r="Q561" s="237"/>
      <c r="R561" s="238"/>
      <c r="S561" s="238"/>
      <c r="T561" s="237" t="str">
        <f>Table1[[#This Row],[h_hargasetelahdiskon]]</f>
        <v/>
      </c>
      <c r="V561" s="234"/>
      <c r="W561" s="234" t="str">
        <f ca="1">IF(Table1[[#This Row],[Column12]]="","",IF(Table1[[#This Row],[//]]="",INDIRECT(ADDRESS(ROW()-1,COLUMN())),Table1[[#This Row],[//]]))</f>
        <v/>
      </c>
      <c r="X561" s="234" t="str">
        <f ca="1">IF(Table1[[#This Row],[h_id]]="","",COUNTIF(Table1[h_id],Table1[[#This Row],[h_id]]))</f>
        <v/>
      </c>
      <c r="Y561" s="237" t="str">
        <f>IF(Table1[[#This Row],[Column12]]="","",Table1[[#This Row],[Qty]]*Table1[[#This Row],[Column13]])</f>
        <v/>
      </c>
      <c r="Z561" s="237" t="str">
        <f>IF(Table1[[#This Row],[h_hargasebelumdiskon]]="","",IF(Table1[[#This Row],[Column14]]="",0,Table1[[#This Row],[h_hargasebelumdiskon]]*Table1[[#This Row],[Column14]]))</f>
        <v/>
      </c>
      <c r="AA561" s="237" t="str">
        <f>IF(Table1[[#This Row],[h_hargasebelumdiskon]]="","",IF(Table1[[#This Row],[Column15]]="",0,(Table1[[#This Row],[h_hargasebelumdiskon]]-Table1[[#This Row],[h_disc 1]])*Table1[[#This Row],[Column15]]))</f>
        <v/>
      </c>
      <c r="AB561" s="237" t="str">
        <f>IF(Table1[[#This Row],[Column12]]="","",Table1[[#This Row],[h_disc 1]]+Table1[[#This Row],[h_disc 2]])</f>
        <v/>
      </c>
      <c r="AC561" s="237" t="str">
        <f>IF(Table1[[#This Row],[Column12]]="","",Table1[[#This Row],[h_hargasebelumdiskon]]-Table1[[#This Row],[h_diskon]])</f>
        <v/>
      </c>
      <c r="AD561" s="237" t="str">
        <f ca="1">IF(Table1[[#This Row],[//]]="","",SUMIF(Table1[h_id],Table1[[#This Row],[h_id]],Table1[h_hargasetelahdiskon]))</f>
        <v/>
      </c>
      <c r="AF561" s="237" t="str">
        <f>Table1[[#This Row],[Column12]]&amp;Table1[[#This Row],[Unit]]&amp;Table1[[#This Row],[Column13]]</f>
        <v/>
      </c>
      <c r="AG561"/>
      <c r="AH561"/>
      <c r="AI561"/>
    </row>
    <row r="562" spans="1:35">
      <c r="A562" s="234" t="str">
        <f ca="1">IF(Table1[[#This Row],[No. Invoice :]]="","",ROW())</f>
        <v/>
      </c>
      <c r="B562" s="234" t="str">
        <f ca="1">IF(Table1[[#This Row],[Column3]]="","",B$1+COUNT(INDIRECT("B$2:B"&amp;ROW()-1)))</f>
        <v/>
      </c>
      <c r="C562" s="235" t="str">
        <f>IF(Table1[[#This Row],[Column2]]="","",Table1[[#This Row],[Column2]]+C$1-1)</f>
        <v/>
      </c>
      <c r="E562" s="236"/>
      <c r="F562" s="234"/>
      <c r="G562" s="234" t="str">
        <f ca="1">IF(Table1[[#This Row],[h_No. Invoice :]]="","",CONCATENATE("AM"," ",Table1[[#This Row],[h_No. Invoice :]]))</f>
        <v/>
      </c>
      <c r="H562" s="234" t="str">
        <f>IF(Table1[[#This Row],[Column5]]="","",INDEX(Table2[Column1],MATCH(Table1[[#This Row],[Column5]],Table2[a],0)))</f>
        <v/>
      </c>
      <c r="I562" s="234" t="str">
        <f>IF(Table1[[#This Row],[Column3]]=0,"",CONCATENATE(UPPER(Table1[[#This Row],[Column3]])," ",Table1[[#This Row],[Column4]]))</f>
        <v xml:space="preserve"> </v>
      </c>
      <c r="J562" s="234" t="str">
        <f>IF(Table1[[#This Row],[Column5]]="","",INDEX(Table2[e],IF(Table1[[#This Row],[Column5]]="","",MATCH(Table1[[#This Row],[Column5]],Table2[a],0)),))</f>
        <v/>
      </c>
      <c r="K562" s="234"/>
      <c r="L562" s="234"/>
      <c r="O562" s="234" t="str">
        <f>IF(Table1[[#This Row],[h_Item Description]]="","",INDEX([1]!db[NB PAJAK],MATCH(Table1[[#This Row],[h_Item Description]],[1]!db[kode],0)))</f>
        <v/>
      </c>
      <c r="Q562" s="237"/>
      <c r="R562" s="238"/>
      <c r="S562" s="238"/>
      <c r="T562" s="237" t="str">
        <f>Table1[[#This Row],[h_hargasetelahdiskon]]</f>
        <v/>
      </c>
      <c r="V562" s="234"/>
      <c r="W562" s="234" t="str">
        <f ca="1">IF(Table1[[#This Row],[Column12]]="","",IF(Table1[[#This Row],[//]]="",INDIRECT(ADDRESS(ROW()-1,COLUMN())),Table1[[#This Row],[//]]))</f>
        <v/>
      </c>
      <c r="X562" s="234" t="str">
        <f ca="1">IF(Table1[[#This Row],[h_id]]="","",COUNTIF(Table1[h_id],Table1[[#This Row],[h_id]]))</f>
        <v/>
      </c>
      <c r="Y562" s="237" t="str">
        <f>IF(Table1[[#This Row],[Column12]]="","",Table1[[#This Row],[Qty]]*Table1[[#This Row],[Column13]])</f>
        <v/>
      </c>
      <c r="Z562" s="237" t="str">
        <f>IF(Table1[[#This Row],[h_hargasebelumdiskon]]="","",IF(Table1[[#This Row],[Column14]]="",0,Table1[[#This Row],[h_hargasebelumdiskon]]*Table1[[#This Row],[Column14]]))</f>
        <v/>
      </c>
      <c r="AA562" s="237" t="str">
        <f>IF(Table1[[#This Row],[h_hargasebelumdiskon]]="","",IF(Table1[[#This Row],[Column15]]="",0,(Table1[[#This Row],[h_hargasebelumdiskon]]-Table1[[#This Row],[h_disc 1]])*Table1[[#This Row],[Column15]]))</f>
        <v/>
      </c>
      <c r="AB562" s="237" t="str">
        <f>IF(Table1[[#This Row],[Column12]]="","",Table1[[#This Row],[h_disc 1]]+Table1[[#This Row],[h_disc 2]])</f>
        <v/>
      </c>
      <c r="AC562" s="237" t="str">
        <f>IF(Table1[[#This Row],[Column12]]="","",Table1[[#This Row],[h_hargasebelumdiskon]]-Table1[[#This Row],[h_diskon]])</f>
        <v/>
      </c>
      <c r="AD562" s="237" t="str">
        <f ca="1">IF(Table1[[#This Row],[//]]="","",SUMIF(Table1[h_id],Table1[[#This Row],[h_id]],Table1[h_hargasetelahdiskon]))</f>
        <v/>
      </c>
      <c r="AF562" s="237" t="str">
        <f>Table1[[#This Row],[Column12]]&amp;Table1[[#This Row],[Unit]]&amp;Table1[[#This Row],[Column13]]</f>
        <v/>
      </c>
      <c r="AG562"/>
      <c r="AH562"/>
      <c r="AI562"/>
    </row>
    <row r="563" spans="1:35">
      <c r="A563" s="234" t="str">
        <f ca="1">IF(Table1[[#This Row],[No. Invoice :]]="","",ROW())</f>
        <v/>
      </c>
      <c r="B563" s="234" t="str">
        <f ca="1">IF(Table1[[#This Row],[Column3]]="","",B$1+COUNT(INDIRECT("B$2:B"&amp;ROW()-1)))</f>
        <v/>
      </c>
      <c r="C563" s="235" t="str">
        <f>IF(Table1[[#This Row],[Column2]]="","",Table1[[#This Row],[Column2]]+C$1-1)</f>
        <v/>
      </c>
      <c r="E563" s="236"/>
      <c r="F563" s="234"/>
      <c r="G563" s="234" t="str">
        <f ca="1">IF(Table1[[#This Row],[h_No. Invoice :]]="","",CONCATENATE("AM"," ",Table1[[#This Row],[h_No. Invoice :]]))</f>
        <v/>
      </c>
      <c r="H563" s="234" t="str">
        <f>IF(Table1[[#This Row],[Column5]]="","",INDEX(Table2[Column1],MATCH(Table1[[#This Row],[Column5]],Table2[a],0)))</f>
        <v/>
      </c>
      <c r="I563" s="234" t="str">
        <f>IF(Table1[[#This Row],[Column3]]=0,"",CONCATENATE(UPPER(Table1[[#This Row],[Column3]])," ",Table1[[#This Row],[Column4]]))</f>
        <v xml:space="preserve"> </v>
      </c>
      <c r="J563" s="234" t="str">
        <f>IF(Table1[[#This Row],[Column5]]="","",INDEX(Table2[e],IF(Table1[[#This Row],[Column5]]="","",MATCH(Table1[[#This Row],[Column5]],Table2[a],0)),))</f>
        <v/>
      </c>
      <c r="K563" s="234"/>
      <c r="L563" s="234"/>
      <c r="O563" s="234" t="str">
        <f>IF(Table1[[#This Row],[h_Item Description]]="","",INDEX([1]!db[NB PAJAK],MATCH(Table1[[#This Row],[h_Item Description]],[1]!db[kode],0)))</f>
        <v/>
      </c>
      <c r="Q563" s="237"/>
      <c r="R563" s="238"/>
      <c r="S563" s="238"/>
      <c r="T563" s="237" t="str">
        <f>Table1[[#This Row],[h_hargasetelahdiskon]]</f>
        <v/>
      </c>
      <c r="V563" s="234"/>
      <c r="W563" s="234" t="str">
        <f ca="1">IF(Table1[[#This Row],[Column12]]="","",IF(Table1[[#This Row],[//]]="",INDIRECT(ADDRESS(ROW()-1,COLUMN())),Table1[[#This Row],[//]]))</f>
        <v/>
      </c>
      <c r="X563" s="234" t="str">
        <f ca="1">IF(Table1[[#This Row],[h_id]]="","",COUNTIF(Table1[h_id],Table1[[#This Row],[h_id]]))</f>
        <v/>
      </c>
      <c r="Y563" s="237" t="str">
        <f>IF(Table1[[#This Row],[Column12]]="","",Table1[[#This Row],[Qty]]*Table1[[#This Row],[Column13]])</f>
        <v/>
      </c>
      <c r="Z563" s="237" t="str">
        <f>IF(Table1[[#This Row],[h_hargasebelumdiskon]]="","",IF(Table1[[#This Row],[Column14]]="",0,Table1[[#This Row],[h_hargasebelumdiskon]]*Table1[[#This Row],[Column14]]))</f>
        <v/>
      </c>
      <c r="AA563" s="237" t="str">
        <f>IF(Table1[[#This Row],[h_hargasebelumdiskon]]="","",IF(Table1[[#This Row],[Column15]]="",0,(Table1[[#This Row],[h_hargasebelumdiskon]]-Table1[[#This Row],[h_disc 1]])*Table1[[#This Row],[Column15]]))</f>
        <v/>
      </c>
      <c r="AB563" s="237" t="str">
        <f>IF(Table1[[#This Row],[Column12]]="","",Table1[[#This Row],[h_disc 1]]+Table1[[#This Row],[h_disc 2]])</f>
        <v/>
      </c>
      <c r="AC563" s="237" t="str">
        <f>IF(Table1[[#This Row],[Column12]]="","",Table1[[#This Row],[h_hargasebelumdiskon]]-Table1[[#This Row],[h_diskon]])</f>
        <v/>
      </c>
      <c r="AD563" s="237" t="str">
        <f ca="1">IF(Table1[[#This Row],[//]]="","",SUMIF(Table1[h_id],Table1[[#This Row],[h_id]],Table1[h_hargasetelahdiskon]))</f>
        <v/>
      </c>
      <c r="AF563" s="237" t="str">
        <f>Table1[[#This Row],[Column12]]&amp;Table1[[#This Row],[Unit]]&amp;Table1[[#This Row],[Column13]]</f>
        <v/>
      </c>
      <c r="AG563"/>
      <c r="AH563"/>
      <c r="AI563"/>
    </row>
    <row r="564" spans="1:35">
      <c r="A564" s="234" t="str">
        <f ca="1">IF(Table1[[#This Row],[No. Invoice :]]="","",ROW())</f>
        <v/>
      </c>
      <c r="B564" s="234" t="str">
        <f ca="1">IF(Table1[[#This Row],[Column3]]="","",B$1+COUNT(INDIRECT("B$2:B"&amp;ROW()-1)))</f>
        <v/>
      </c>
      <c r="C564" s="235" t="str">
        <f>IF(Table1[[#This Row],[Column2]]="","",Table1[[#This Row],[Column2]]+C$1-1)</f>
        <v/>
      </c>
      <c r="E564" s="236"/>
      <c r="F564" s="234"/>
      <c r="G564" s="234" t="str">
        <f ca="1">IF(Table1[[#This Row],[h_No. Invoice :]]="","",CONCATENATE("AM"," ",Table1[[#This Row],[h_No. Invoice :]]))</f>
        <v/>
      </c>
      <c r="H564" s="234" t="str">
        <f>IF(Table1[[#This Row],[Column5]]="","",INDEX(Table2[Column1],MATCH(Table1[[#This Row],[Column5]],Table2[a],0)))</f>
        <v/>
      </c>
      <c r="I564" s="234" t="str">
        <f>IF(Table1[[#This Row],[Column3]]=0,"",CONCATENATE(UPPER(Table1[[#This Row],[Column3]])," ",Table1[[#This Row],[Column4]]))</f>
        <v xml:space="preserve"> </v>
      </c>
      <c r="J564" s="234" t="str">
        <f>IF(Table1[[#This Row],[Column5]]="","",INDEX(Table2[e],IF(Table1[[#This Row],[Column5]]="","",MATCH(Table1[[#This Row],[Column5]],Table2[a],0)),))</f>
        <v/>
      </c>
      <c r="K564" s="234"/>
      <c r="L564" s="234"/>
      <c r="O564" s="234" t="str">
        <f>IF(Table1[[#This Row],[h_Item Description]]="","",INDEX([1]!db[NB PAJAK],MATCH(Table1[[#This Row],[h_Item Description]],[1]!db[kode],0)))</f>
        <v/>
      </c>
      <c r="Q564" s="237"/>
      <c r="R564" s="238"/>
      <c r="S564" s="238"/>
      <c r="T564" s="237" t="str">
        <f>Table1[[#This Row],[h_hargasetelahdiskon]]</f>
        <v/>
      </c>
      <c r="V564" s="234"/>
      <c r="W564" s="234" t="str">
        <f ca="1">IF(Table1[[#This Row],[Column12]]="","",IF(Table1[[#This Row],[//]]="",INDIRECT(ADDRESS(ROW()-1,COLUMN())),Table1[[#This Row],[//]]))</f>
        <v/>
      </c>
      <c r="X564" s="234" t="str">
        <f ca="1">IF(Table1[[#This Row],[h_id]]="","",COUNTIF(Table1[h_id],Table1[[#This Row],[h_id]]))</f>
        <v/>
      </c>
      <c r="Y564" s="237" t="str">
        <f>IF(Table1[[#This Row],[Column12]]="","",Table1[[#This Row],[Qty]]*Table1[[#This Row],[Column13]])</f>
        <v/>
      </c>
      <c r="Z564" s="237" t="str">
        <f>IF(Table1[[#This Row],[h_hargasebelumdiskon]]="","",IF(Table1[[#This Row],[Column14]]="",0,Table1[[#This Row],[h_hargasebelumdiskon]]*Table1[[#This Row],[Column14]]))</f>
        <v/>
      </c>
      <c r="AA564" s="237" t="str">
        <f>IF(Table1[[#This Row],[h_hargasebelumdiskon]]="","",IF(Table1[[#This Row],[Column15]]="",0,(Table1[[#This Row],[h_hargasebelumdiskon]]-Table1[[#This Row],[h_disc 1]])*Table1[[#This Row],[Column15]]))</f>
        <v/>
      </c>
      <c r="AB564" s="237" t="str">
        <f>IF(Table1[[#This Row],[Column12]]="","",Table1[[#This Row],[h_disc 1]]+Table1[[#This Row],[h_disc 2]])</f>
        <v/>
      </c>
      <c r="AC564" s="237" t="str">
        <f>IF(Table1[[#This Row],[Column12]]="","",Table1[[#This Row],[h_hargasebelumdiskon]]-Table1[[#This Row],[h_diskon]])</f>
        <v/>
      </c>
      <c r="AD564" s="237" t="str">
        <f ca="1">IF(Table1[[#This Row],[//]]="","",SUMIF(Table1[h_id],Table1[[#This Row],[h_id]],Table1[h_hargasetelahdiskon]))</f>
        <v/>
      </c>
      <c r="AF564" s="237" t="str">
        <f>Table1[[#This Row],[Column12]]&amp;Table1[[#This Row],[Unit]]&amp;Table1[[#This Row],[Column13]]</f>
        <v/>
      </c>
      <c r="AG564"/>
      <c r="AH564"/>
      <c r="AI564"/>
    </row>
    <row r="565" spans="1:35">
      <c r="A565" s="234" t="str">
        <f ca="1">IF(Table1[[#This Row],[No. Invoice :]]="","",ROW())</f>
        <v/>
      </c>
      <c r="B565" s="234" t="str">
        <f ca="1">IF(Table1[[#This Row],[Column3]]="","",B$1+COUNT(INDIRECT("B$2:B"&amp;ROW()-1)))</f>
        <v/>
      </c>
      <c r="C565" s="235" t="str">
        <f>IF(Table1[[#This Row],[Column2]]="","",Table1[[#This Row],[Column2]]+C$1-1)</f>
        <v/>
      </c>
      <c r="E565" s="236"/>
      <c r="F565" s="234"/>
      <c r="G565" s="234" t="str">
        <f ca="1">IF(Table1[[#This Row],[h_No. Invoice :]]="","",CONCATENATE("AM"," ",Table1[[#This Row],[h_No. Invoice :]]))</f>
        <v/>
      </c>
      <c r="H565" s="234" t="str">
        <f>IF(Table1[[#This Row],[Column5]]="","",INDEX(Table2[Column1],MATCH(Table1[[#This Row],[Column5]],Table2[a],0)))</f>
        <v/>
      </c>
      <c r="I565" s="234" t="str">
        <f>IF(Table1[[#This Row],[Column3]]=0,"",CONCATENATE(UPPER(Table1[[#This Row],[Column3]])," ",Table1[[#This Row],[Column4]]))</f>
        <v xml:space="preserve"> </v>
      </c>
      <c r="J565" s="234" t="str">
        <f>IF(Table1[[#This Row],[Column5]]="","",INDEX(Table2[e],IF(Table1[[#This Row],[Column5]]="","",MATCH(Table1[[#This Row],[Column5]],Table2[a],0)),))</f>
        <v/>
      </c>
      <c r="K565" s="234"/>
      <c r="L565" s="234"/>
      <c r="O565" s="234" t="str">
        <f>IF(Table1[[#This Row],[h_Item Description]]="","",INDEX([1]!db[NB PAJAK],MATCH(Table1[[#This Row],[h_Item Description]],[1]!db[kode],0)))</f>
        <v/>
      </c>
      <c r="Q565" s="237"/>
      <c r="R565" s="238"/>
      <c r="S565" s="238"/>
      <c r="T565" s="237" t="str">
        <f>Table1[[#This Row],[h_hargasetelahdiskon]]</f>
        <v/>
      </c>
      <c r="V565" s="234"/>
      <c r="W565" s="234" t="str">
        <f ca="1">IF(Table1[[#This Row],[Column12]]="","",IF(Table1[[#This Row],[//]]="",INDIRECT(ADDRESS(ROW()-1,COLUMN())),Table1[[#This Row],[//]]))</f>
        <v/>
      </c>
      <c r="X565" s="234" t="str">
        <f ca="1">IF(Table1[[#This Row],[h_id]]="","",COUNTIF(Table1[h_id],Table1[[#This Row],[h_id]]))</f>
        <v/>
      </c>
      <c r="Y565" s="237" t="str">
        <f>IF(Table1[[#This Row],[Column12]]="","",Table1[[#This Row],[Qty]]*Table1[[#This Row],[Column13]])</f>
        <v/>
      </c>
      <c r="Z565" s="237" t="str">
        <f>IF(Table1[[#This Row],[h_hargasebelumdiskon]]="","",IF(Table1[[#This Row],[Column14]]="",0,Table1[[#This Row],[h_hargasebelumdiskon]]*Table1[[#This Row],[Column14]]))</f>
        <v/>
      </c>
      <c r="AA565" s="237" t="str">
        <f>IF(Table1[[#This Row],[h_hargasebelumdiskon]]="","",IF(Table1[[#This Row],[Column15]]="",0,(Table1[[#This Row],[h_hargasebelumdiskon]]-Table1[[#This Row],[h_disc 1]])*Table1[[#This Row],[Column15]]))</f>
        <v/>
      </c>
      <c r="AB565" s="237" t="str">
        <f>IF(Table1[[#This Row],[Column12]]="","",Table1[[#This Row],[h_disc 1]]+Table1[[#This Row],[h_disc 2]])</f>
        <v/>
      </c>
      <c r="AC565" s="237" t="str">
        <f>IF(Table1[[#This Row],[Column12]]="","",Table1[[#This Row],[h_hargasebelumdiskon]]-Table1[[#This Row],[h_diskon]])</f>
        <v/>
      </c>
      <c r="AD565" s="237" t="str">
        <f ca="1">IF(Table1[[#This Row],[//]]="","",SUMIF(Table1[h_id],Table1[[#This Row],[h_id]],Table1[h_hargasetelahdiskon]))</f>
        <v/>
      </c>
      <c r="AF565" s="237" t="str">
        <f>Table1[[#This Row],[Column12]]&amp;Table1[[#This Row],[Unit]]&amp;Table1[[#This Row],[Column13]]</f>
        <v/>
      </c>
      <c r="AG565"/>
      <c r="AH565"/>
      <c r="AI565"/>
    </row>
    <row r="566" spans="1:35">
      <c r="A566" s="234" t="str">
        <f ca="1">IF(Table1[[#This Row],[No. Invoice :]]="","",ROW())</f>
        <v/>
      </c>
      <c r="B566" s="234" t="str">
        <f ca="1">IF(Table1[[#This Row],[Column3]]="","",B$1+COUNT(INDIRECT("B$2:B"&amp;ROW()-1)))</f>
        <v/>
      </c>
      <c r="C566" s="235" t="str">
        <f>IF(Table1[[#This Row],[Column2]]="","",Table1[[#This Row],[Column2]]+C$1-1)</f>
        <v/>
      </c>
      <c r="E566" s="236"/>
      <c r="F566" s="234"/>
      <c r="G566" s="234" t="str">
        <f ca="1">IF(Table1[[#This Row],[h_No. Invoice :]]="","",CONCATENATE("AM"," ",Table1[[#This Row],[h_No. Invoice :]]))</f>
        <v/>
      </c>
      <c r="H566" s="234" t="str">
        <f>IF(Table1[[#This Row],[Column5]]="","",INDEX(Table2[Column1],MATCH(Table1[[#This Row],[Column5]],Table2[a],0)))</f>
        <v/>
      </c>
      <c r="I566" s="234" t="str">
        <f>IF(Table1[[#This Row],[Column3]]=0,"",CONCATENATE(UPPER(Table1[[#This Row],[Column3]])," ",Table1[[#This Row],[Column4]]))</f>
        <v xml:space="preserve"> </v>
      </c>
      <c r="J566" s="234" t="str">
        <f>IF(Table1[[#This Row],[Column5]]="","",INDEX(Table2[e],IF(Table1[[#This Row],[Column5]]="","",MATCH(Table1[[#This Row],[Column5]],Table2[a],0)),))</f>
        <v/>
      </c>
      <c r="K566" s="234"/>
      <c r="L566" s="234"/>
      <c r="O566" s="234" t="str">
        <f>IF(Table1[[#This Row],[h_Item Description]]="","",INDEX([1]!db[NB PAJAK],MATCH(Table1[[#This Row],[h_Item Description]],[1]!db[kode],0)))</f>
        <v/>
      </c>
      <c r="Q566" s="237"/>
      <c r="R566" s="238"/>
      <c r="S566" s="238"/>
      <c r="T566" s="237" t="str">
        <f>Table1[[#This Row],[h_hargasetelahdiskon]]</f>
        <v/>
      </c>
      <c r="V566" s="234"/>
      <c r="W566" s="234" t="str">
        <f ca="1">IF(Table1[[#This Row],[Column12]]="","",IF(Table1[[#This Row],[//]]="",INDIRECT(ADDRESS(ROW()-1,COLUMN())),Table1[[#This Row],[//]]))</f>
        <v/>
      </c>
      <c r="X566" s="234" t="str">
        <f ca="1">IF(Table1[[#This Row],[h_id]]="","",COUNTIF(Table1[h_id],Table1[[#This Row],[h_id]]))</f>
        <v/>
      </c>
      <c r="Y566" s="237" t="str">
        <f>IF(Table1[[#This Row],[Column12]]="","",Table1[[#This Row],[Qty]]*Table1[[#This Row],[Column13]])</f>
        <v/>
      </c>
      <c r="Z566" s="237" t="str">
        <f>IF(Table1[[#This Row],[h_hargasebelumdiskon]]="","",IF(Table1[[#This Row],[Column14]]="",0,Table1[[#This Row],[h_hargasebelumdiskon]]*Table1[[#This Row],[Column14]]))</f>
        <v/>
      </c>
      <c r="AA566" s="237" t="str">
        <f>IF(Table1[[#This Row],[h_hargasebelumdiskon]]="","",IF(Table1[[#This Row],[Column15]]="",0,(Table1[[#This Row],[h_hargasebelumdiskon]]-Table1[[#This Row],[h_disc 1]])*Table1[[#This Row],[Column15]]))</f>
        <v/>
      </c>
      <c r="AB566" s="237" t="str">
        <f>IF(Table1[[#This Row],[Column12]]="","",Table1[[#This Row],[h_disc 1]]+Table1[[#This Row],[h_disc 2]])</f>
        <v/>
      </c>
      <c r="AC566" s="237" t="str">
        <f>IF(Table1[[#This Row],[Column12]]="","",Table1[[#This Row],[h_hargasebelumdiskon]]-Table1[[#This Row],[h_diskon]])</f>
        <v/>
      </c>
      <c r="AD566" s="237" t="str">
        <f ca="1">IF(Table1[[#This Row],[//]]="","",SUMIF(Table1[h_id],Table1[[#This Row],[h_id]],Table1[h_hargasetelahdiskon]))</f>
        <v/>
      </c>
      <c r="AF566" s="237" t="str">
        <f>Table1[[#This Row],[Column12]]&amp;Table1[[#This Row],[Unit]]&amp;Table1[[#This Row],[Column13]]</f>
        <v/>
      </c>
      <c r="AG566"/>
      <c r="AH566"/>
      <c r="AI566"/>
    </row>
    <row r="567" spans="1:35">
      <c r="A567" s="234" t="str">
        <f ca="1">IF(Table1[[#This Row],[No. Invoice :]]="","",ROW())</f>
        <v/>
      </c>
      <c r="B567" s="234" t="str">
        <f ca="1">IF(Table1[[#This Row],[Column3]]="","",B$1+COUNT(INDIRECT("B$2:B"&amp;ROW()-1)))</f>
        <v/>
      </c>
      <c r="C567" s="235" t="str">
        <f>IF(Table1[[#This Row],[Column2]]="","",Table1[[#This Row],[Column2]]+C$1-1)</f>
        <v/>
      </c>
      <c r="E567" s="236"/>
      <c r="F567" s="234"/>
      <c r="G567" s="234" t="str">
        <f ca="1">IF(Table1[[#This Row],[h_No. Invoice :]]="","",CONCATENATE("AM"," ",Table1[[#This Row],[h_No. Invoice :]]))</f>
        <v/>
      </c>
      <c r="H567" s="234" t="str">
        <f>IF(Table1[[#This Row],[Column5]]="","",INDEX(Table2[Column1],MATCH(Table1[[#This Row],[Column5]],Table2[a],0)))</f>
        <v/>
      </c>
      <c r="I567" s="234" t="str">
        <f>IF(Table1[[#This Row],[Column3]]=0,"",CONCATENATE(UPPER(Table1[[#This Row],[Column3]])," ",Table1[[#This Row],[Column4]]))</f>
        <v xml:space="preserve"> </v>
      </c>
      <c r="J567" s="234" t="str">
        <f>IF(Table1[[#This Row],[Column5]]="","",INDEX(Table2[e],IF(Table1[[#This Row],[Column5]]="","",MATCH(Table1[[#This Row],[Column5]],Table2[a],0)),))</f>
        <v/>
      </c>
      <c r="K567" s="234"/>
      <c r="L567" s="234"/>
      <c r="O567" s="234" t="str">
        <f>IF(Table1[[#This Row],[h_Item Description]]="","",INDEX([1]!db[NB PAJAK],MATCH(Table1[[#This Row],[h_Item Description]],[1]!db[kode],0)))</f>
        <v/>
      </c>
      <c r="Q567" s="237"/>
      <c r="R567" s="238"/>
      <c r="S567" s="238"/>
      <c r="T567" s="237" t="str">
        <f>Table1[[#This Row],[h_hargasetelahdiskon]]</f>
        <v/>
      </c>
      <c r="V567" s="234"/>
      <c r="W567" s="234" t="str">
        <f ca="1">IF(Table1[[#This Row],[Column12]]="","",IF(Table1[[#This Row],[//]]="",INDIRECT(ADDRESS(ROW()-1,COLUMN())),Table1[[#This Row],[//]]))</f>
        <v/>
      </c>
      <c r="X567" s="234" t="str">
        <f ca="1">IF(Table1[[#This Row],[h_id]]="","",COUNTIF(Table1[h_id],Table1[[#This Row],[h_id]]))</f>
        <v/>
      </c>
      <c r="Y567" s="237" t="str">
        <f>IF(Table1[[#This Row],[Column12]]="","",Table1[[#This Row],[Qty]]*Table1[[#This Row],[Column13]])</f>
        <v/>
      </c>
      <c r="Z567" s="237" t="str">
        <f>IF(Table1[[#This Row],[h_hargasebelumdiskon]]="","",IF(Table1[[#This Row],[Column14]]="",0,Table1[[#This Row],[h_hargasebelumdiskon]]*Table1[[#This Row],[Column14]]))</f>
        <v/>
      </c>
      <c r="AA567" s="237" t="str">
        <f>IF(Table1[[#This Row],[h_hargasebelumdiskon]]="","",IF(Table1[[#This Row],[Column15]]="",0,(Table1[[#This Row],[h_hargasebelumdiskon]]-Table1[[#This Row],[h_disc 1]])*Table1[[#This Row],[Column15]]))</f>
        <v/>
      </c>
      <c r="AB567" s="237" t="str">
        <f>IF(Table1[[#This Row],[Column12]]="","",Table1[[#This Row],[h_disc 1]]+Table1[[#This Row],[h_disc 2]])</f>
        <v/>
      </c>
      <c r="AC567" s="237" t="str">
        <f>IF(Table1[[#This Row],[Column12]]="","",Table1[[#This Row],[h_hargasebelumdiskon]]-Table1[[#This Row],[h_diskon]])</f>
        <v/>
      </c>
      <c r="AD567" s="237" t="str">
        <f ca="1">IF(Table1[[#This Row],[//]]="","",SUMIF(Table1[h_id],Table1[[#This Row],[h_id]],Table1[h_hargasetelahdiskon]))</f>
        <v/>
      </c>
      <c r="AF567" s="237" t="str">
        <f>Table1[[#This Row],[Column12]]&amp;Table1[[#This Row],[Unit]]&amp;Table1[[#This Row],[Column13]]</f>
        <v/>
      </c>
      <c r="AG567"/>
      <c r="AH567"/>
      <c r="AI567"/>
    </row>
    <row r="568" spans="1:35">
      <c r="A568" s="234" t="str">
        <f ca="1">IF(Table1[[#This Row],[No. Invoice :]]="","",ROW())</f>
        <v/>
      </c>
      <c r="B568" s="234" t="str">
        <f ca="1">IF(Table1[[#This Row],[Column3]]="","",B$1+COUNT(INDIRECT("B$2:B"&amp;ROW()-1)))</f>
        <v/>
      </c>
      <c r="C568" s="235" t="str">
        <f>IF(Table1[[#This Row],[Column2]]="","",Table1[[#This Row],[Column2]]+C$1-1)</f>
        <v/>
      </c>
      <c r="E568" s="236"/>
      <c r="F568" s="234"/>
      <c r="G568" s="234" t="str">
        <f ca="1">IF(Table1[[#This Row],[h_No. Invoice :]]="","",CONCATENATE("AM"," ",Table1[[#This Row],[h_No. Invoice :]]))</f>
        <v/>
      </c>
      <c r="H568" s="234" t="str">
        <f>IF(Table1[[#This Row],[Column5]]="","",INDEX(Table2[Column1],MATCH(Table1[[#This Row],[Column5]],Table2[a],0)))</f>
        <v/>
      </c>
      <c r="I568" s="234" t="str">
        <f>IF(Table1[[#This Row],[Column3]]=0,"",CONCATENATE(UPPER(Table1[[#This Row],[Column3]])," ",Table1[[#This Row],[Column4]]))</f>
        <v xml:space="preserve"> </v>
      </c>
      <c r="J568" s="234" t="str">
        <f>IF(Table1[[#This Row],[Column5]]="","",INDEX(Table2[e],IF(Table1[[#This Row],[Column5]]="","",MATCH(Table1[[#This Row],[Column5]],Table2[a],0)),))</f>
        <v/>
      </c>
      <c r="K568" s="234"/>
      <c r="L568" s="234"/>
      <c r="O568" s="234" t="str">
        <f>IF(Table1[[#This Row],[h_Item Description]]="","",INDEX([1]!db[NB PAJAK],MATCH(Table1[[#This Row],[h_Item Description]],[1]!db[kode],0)))</f>
        <v/>
      </c>
      <c r="Q568" s="237"/>
      <c r="R568" s="238"/>
      <c r="S568" s="238"/>
      <c r="T568" s="237" t="str">
        <f>Table1[[#This Row],[h_hargasetelahdiskon]]</f>
        <v/>
      </c>
      <c r="V568" s="234"/>
      <c r="W568" s="234" t="str">
        <f ca="1">IF(Table1[[#This Row],[Column12]]="","",IF(Table1[[#This Row],[//]]="",INDIRECT(ADDRESS(ROW()-1,COLUMN())),Table1[[#This Row],[//]]))</f>
        <v/>
      </c>
      <c r="X568" s="234" t="str">
        <f ca="1">IF(Table1[[#This Row],[h_id]]="","",COUNTIF(Table1[h_id],Table1[[#This Row],[h_id]]))</f>
        <v/>
      </c>
      <c r="Y568" s="237" t="str">
        <f>IF(Table1[[#This Row],[Column12]]="","",Table1[[#This Row],[Qty]]*Table1[[#This Row],[Column13]])</f>
        <v/>
      </c>
      <c r="Z568" s="237" t="str">
        <f>IF(Table1[[#This Row],[h_hargasebelumdiskon]]="","",IF(Table1[[#This Row],[Column14]]="",0,Table1[[#This Row],[h_hargasebelumdiskon]]*Table1[[#This Row],[Column14]]))</f>
        <v/>
      </c>
      <c r="AA568" s="237" t="str">
        <f>IF(Table1[[#This Row],[h_hargasebelumdiskon]]="","",IF(Table1[[#This Row],[Column15]]="",0,(Table1[[#This Row],[h_hargasebelumdiskon]]-Table1[[#This Row],[h_disc 1]])*Table1[[#This Row],[Column15]]))</f>
        <v/>
      </c>
      <c r="AB568" s="237" t="str">
        <f>IF(Table1[[#This Row],[Column12]]="","",Table1[[#This Row],[h_disc 1]]+Table1[[#This Row],[h_disc 2]])</f>
        <v/>
      </c>
      <c r="AC568" s="237" t="str">
        <f>IF(Table1[[#This Row],[Column12]]="","",Table1[[#This Row],[h_hargasebelumdiskon]]-Table1[[#This Row],[h_diskon]])</f>
        <v/>
      </c>
      <c r="AD568" s="237" t="str">
        <f ca="1">IF(Table1[[#This Row],[//]]="","",SUMIF(Table1[h_id],Table1[[#This Row],[h_id]],Table1[h_hargasetelahdiskon]))</f>
        <v/>
      </c>
      <c r="AF568" s="237" t="str">
        <f>Table1[[#This Row],[Column12]]&amp;Table1[[#This Row],[Unit]]&amp;Table1[[#This Row],[Column13]]</f>
        <v/>
      </c>
      <c r="AG568"/>
      <c r="AH568"/>
      <c r="AI568"/>
    </row>
    <row r="569" spans="1:35">
      <c r="A569" s="234" t="str">
        <f ca="1">IF(Table1[[#This Row],[No. Invoice :]]="","",ROW())</f>
        <v/>
      </c>
      <c r="B569" s="234" t="str">
        <f ca="1">IF(Table1[[#This Row],[Column3]]="","",B$1+COUNT(INDIRECT("B$2:B"&amp;ROW()-1)))</f>
        <v/>
      </c>
      <c r="C569" s="235" t="str">
        <f>IF(Table1[[#This Row],[Column2]]="","",Table1[[#This Row],[Column2]]+C$1-1)</f>
        <v/>
      </c>
      <c r="E569" s="236"/>
      <c r="F569" s="234"/>
      <c r="G569" s="234" t="str">
        <f ca="1">IF(Table1[[#This Row],[h_No. Invoice :]]="","",CONCATENATE("AM"," ",Table1[[#This Row],[h_No. Invoice :]]))</f>
        <v/>
      </c>
      <c r="H569" s="234" t="str">
        <f>IF(Table1[[#This Row],[Column5]]="","",INDEX(Table2[Column1],MATCH(Table1[[#This Row],[Column5]],Table2[a],0)))</f>
        <v/>
      </c>
      <c r="I569" s="234" t="str">
        <f>IF(Table1[[#This Row],[Column3]]=0,"",CONCATENATE(UPPER(Table1[[#This Row],[Column3]])," ",Table1[[#This Row],[Column4]]))</f>
        <v xml:space="preserve"> </v>
      </c>
      <c r="J569" s="234" t="str">
        <f>IF(Table1[[#This Row],[Column5]]="","",INDEX(Table2[e],IF(Table1[[#This Row],[Column5]]="","",MATCH(Table1[[#This Row],[Column5]],Table2[a],0)),))</f>
        <v/>
      </c>
      <c r="K569" s="234"/>
      <c r="L569" s="234"/>
      <c r="O569" s="234" t="str">
        <f>IF(Table1[[#This Row],[h_Item Description]]="","",INDEX([1]!db[NB PAJAK],MATCH(Table1[[#This Row],[h_Item Description]],[1]!db[kode],0)))</f>
        <v/>
      </c>
      <c r="Q569" s="237"/>
      <c r="R569" s="238"/>
      <c r="S569" s="238"/>
      <c r="T569" s="237" t="str">
        <f>Table1[[#This Row],[h_hargasetelahdiskon]]</f>
        <v/>
      </c>
      <c r="V569" s="234"/>
      <c r="W569" s="234" t="str">
        <f ca="1">IF(Table1[[#This Row],[Column12]]="","",IF(Table1[[#This Row],[//]]="",INDIRECT(ADDRESS(ROW()-1,COLUMN())),Table1[[#This Row],[//]]))</f>
        <v/>
      </c>
      <c r="X569" s="234" t="str">
        <f ca="1">IF(Table1[[#This Row],[h_id]]="","",COUNTIF(Table1[h_id],Table1[[#This Row],[h_id]]))</f>
        <v/>
      </c>
      <c r="Y569" s="237" t="str">
        <f>IF(Table1[[#This Row],[Column12]]="","",Table1[[#This Row],[Qty]]*Table1[[#This Row],[Column13]])</f>
        <v/>
      </c>
      <c r="Z569" s="237" t="str">
        <f>IF(Table1[[#This Row],[h_hargasebelumdiskon]]="","",IF(Table1[[#This Row],[Column14]]="",0,Table1[[#This Row],[h_hargasebelumdiskon]]*Table1[[#This Row],[Column14]]))</f>
        <v/>
      </c>
      <c r="AA569" s="237" t="str">
        <f>IF(Table1[[#This Row],[h_hargasebelumdiskon]]="","",IF(Table1[[#This Row],[Column15]]="",0,(Table1[[#This Row],[h_hargasebelumdiskon]]-Table1[[#This Row],[h_disc 1]])*Table1[[#This Row],[Column15]]))</f>
        <v/>
      </c>
      <c r="AB569" s="237" t="str">
        <f>IF(Table1[[#This Row],[Column12]]="","",Table1[[#This Row],[h_disc 1]]+Table1[[#This Row],[h_disc 2]])</f>
        <v/>
      </c>
      <c r="AC569" s="237" t="str">
        <f>IF(Table1[[#This Row],[Column12]]="","",Table1[[#This Row],[h_hargasebelumdiskon]]-Table1[[#This Row],[h_diskon]])</f>
        <v/>
      </c>
      <c r="AD569" s="237" t="str">
        <f ca="1">IF(Table1[[#This Row],[//]]="","",SUMIF(Table1[h_id],Table1[[#This Row],[h_id]],Table1[h_hargasetelahdiskon]))</f>
        <v/>
      </c>
      <c r="AF569" s="237" t="str">
        <f>Table1[[#This Row],[Column12]]&amp;Table1[[#This Row],[Unit]]&amp;Table1[[#This Row],[Column13]]</f>
        <v/>
      </c>
      <c r="AG569"/>
      <c r="AH569"/>
      <c r="AI569"/>
    </row>
    <row r="570" spans="1:35">
      <c r="A570" s="234" t="str">
        <f ca="1">IF(Table1[[#This Row],[No. Invoice :]]="","",ROW())</f>
        <v/>
      </c>
      <c r="B570" s="234" t="str">
        <f ca="1">IF(Table1[[#This Row],[Column3]]="","",B$1+COUNT(INDIRECT("B$2:B"&amp;ROW()-1)))</f>
        <v/>
      </c>
      <c r="C570" s="235" t="str">
        <f>IF(Table1[[#This Row],[Column2]]="","",Table1[[#This Row],[Column2]]+C$1-1)</f>
        <v/>
      </c>
      <c r="E570" s="236"/>
      <c r="F570" s="234"/>
      <c r="G570" s="234" t="str">
        <f ca="1">IF(Table1[[#This Row],[h_No. Invoice :]]="","",CONCATENATE("AM"," ",Table1[[#This Row],[h_No. Invoice :]]))</f>
        <v/>
      </c>
      <c r="H570" s="234" t="str">
        <f>IF(Table1[[#This Row],[Column5]]="","",INDEX(Table2[Column1],MATCH(Table1[[#This Row],[Column5]],Table2[a],0)))</f>
        <v/>
      </c>
      <c r="I570" s="234" t="str">
        <f>IF(Table1[[#This Row],[Column3]]=0,"",CONCATENATE(UPPER(Table1[[#This Row],[Column3]])," ",Table1[[#This Row],[Column4]]))</f>
        <v xml:space="preserve"> </v>
      </c>
      <c r="J570" s="234" t="str">
        <f>IF(Table1[[#This Row],[Column5]]="","",INDEX(Table2[e],IF(Table1[[#This Row],[Column5]]="","",MATCH(Table1[[#This Row],[Column5]],Table2[a],0)),))</f>
        <v/>
      </c>
      <c r="K570" s="234"/>
      <c r="L570" s="234"/>
      <c r="O570" s="234" t="str">
        <f>IF(Table1[[#This Row],[h_Item Description]]="","",INDEX([1]!db[NB PAJAK],MATCH(Table1[[#This Row],[h_Item Description]],[1]!db[kode],0)))</f>
        <v/>
      </c>
      <c r="Q570" s="237"/>
      <c r="R570" s="238"/>
      <c r="S570" s="238"/>
      <c r="T570" s="237" t="str">
        <f>Table1[[#This Row],[h_hargasetelahdiskon]]</f>
        <v/>
      </c>
      <c r="V570" s="234"/>
      <c r="W570" s="234" t="str">
        <f ca="1">IF(Table1[[#This Row],[Column12]]="","",IF(Table1[[#This Row],[//]]="",INDIRECT(ADDRESS(ROW()-1,COLUMN())),Table1[[#This Row],[//]]))</f>
        <v/>
      </c>
      <c r="X570" s="234" t="str">
        <f ca="1">IF(Table1[[#This Row],[h_id]]="","",COUNTIF(Table1[h_id],Table1[[#This Row],[h_id]]))</f>
        <v/>
      </c>
      <c r="Y570" s="237" t="str">
        <f>IF(Table1[[#This Row],[Column12]]="","",Table1[[#This Row],[Qty]]*Table1[[#This Row],[Column13]])</f>
        <v/>
      </c>
      <c r="Z570" s="237" t="str">
        <f>IF(Table1[[#This Row],[h_hargasebelumdiskon]]="","",IF(Table1[[#This Row],[Column14]]="",0,Table1[[#This Row],[h_hargasebelumdiskon]]*Table1[[#This Row],[Column14]]))</f>
        <v/>
      </c>
      <c r="AA570" s="237" t="str">
        <f>IF(Table1[[#This Row],[h_hargasebelumdiskon]]="","",IF(Table1[[#This Row],[Column15]]="",0,(Table1[[#This Row],[h_hargasebelumdiskon]]-Table1[[#This Row],[h_disc 1]])*Table1[[#This Row],[Column15]]))</f>
        <v/>
      </c>
      <c r="AB570" s="237" t="str">
        <f>IF(Table1[[#This Row],[Column12]]="","",Table1[[#This Row],[h_disc 1]]+Table1[[#This Row],[h_disc 2]])</f>
        <v/>
      </c>
      <c r="AC570" s="237" t="str">
        <f>IF(Table1[[#This Row],[Column12]]="","",Table1[[#This Row],[h_hargasebelumdiskon]]-Table1[[#This Row],[h_diskon]])</f>
        <v/>
      </c>
      <c r="AD570" s="237" t="str">
        <f ca="1">IF(Table1[[#This Row],[//]]="","",SUMIF(Table1[h_id],Table1[[#This Row],[h_id]],Table1[h_hargasetelahdiskon]))</f>
        <v/>
      </c>
      <c r="AF570" s="237" t="str">
        <f>Table1[[#This Row],[Column12]]&amp;Table1[[#This Row],[Unit]]&amp;Table1[[#This Row],[Column13]]</f>
        <v/>
      </c>
      <c r="AG570"/>
      <c r="AH570"/>
      <c r="AI570"/>
    </row>
    <row r="571" spans="1:35">
      <c r="A571" s="234" t="str">
        <f ca="1">IF(Table1[[#This Row],[No. Invoice :]]="","",ROW())</f>
        <v/>
      </c>
      <c r="B571" s="234" t="str">
        <f ca="1">IF(Table1[[#This Row],[Column3]]="","",B$1+COUNT(INDIRECT("B$2:B"&amp;ROW()-1)))</f>
        <v/>
      </c>
      <c r="C571" s="235" t="str">
        <f>IF(Table1[[#This Row],[Column2]]="","",Table1[[#This Row],[Column2]]+C$1-1)</f>
        <v/>
      </c>
      <c r="E571" s="236"/>
      <c r="F571" s="234"/>
      <c r="G571" s="234" t="str">
        <f ca="1">IF(Table1[[#This Row],[h_No. Invoice :]]="","",CONCATENATE("AM"," ",Table1[[#This Row],[h_No. Invoice :]]))</f>
        <v/>
      </c>
      <c r="H571" s="234" t="str">
        <f>IF(Table1[[#This Row],[Column5]]="","",INDEX(Table2[Column1],MATCH(Table1[[#This Row],[Column5]],Table2[a],0)))</f>
        <v/>
      </c>
      <c r="I571" s="234" t="str">
        <f>IF(Table1[[#This Row],[Column3]]=0,"",CONCATENATE(UPPER(Table1[[#This Row],[Column3]])," ",Table1[[#This Row],[Column4]]))</f>
        <v xml:space="preserve"> </v>
      </c>
      <c r="J571" s="234" t="str">
        <f>IF(Table1[[#This Row],[Column5]]="","",INDEX(Table2[e],IF(Table1[[#This Row],[Column5]]="","",MATCH(Table1[[#This Row],[Column5]],Table2[a],0)),))</f>
        <v/>
      </c>
      <c r="K571" s="234"/>
      <c r="L571" s="234"/>
      <c r="O571" s="234" t="str">
        <f>IF(Table1[[#This Row],[h_Item Description]]="","",INDEX([1]!db[NB PAJAK],MATCH(Table1[[#This Row],[h_Item Description]],[1]!db[kode],0)))</f>
        <v/>
      </c>
      <c r="Q571" s="237"/>
      <c r="R571" s="238"/>
      <c r="S571" s="238"/>
      <c r="T571" s="237" t="str">
        <f>Table1[[#This Row],[h_hargasetelahdiskon]]</f>
        <v/>
      </c>
      <c r="V571" s="234"/>
      <c r="W571" s="234" t="str">
        <f ca="1">IF(Table1[[#This Row],[Column12]]="","",IF(Table1[[#This Row],[//]]="",INDIRECT(ADDRESS(ROW()-1,COLUMN())),Table1[[#This Row],[//]]))</f>
        <v/>
      </c>
      <c r="X571" s="234" t="str">
        <f ca="1">IF(Table1[[#This Row],[h_id]]="","",COUNTIF(Table1[h_id],Table1[[#This Row],[h_id]]))</f>
        <v/>
      </c>
      <c r="Y571" s="237" t="str">
        <f>IF(Table1[[#This Row],[Column12]]="","",Table1[[#This Row],[Qty]]*Table1[[#This Row],[Column13]])</f>
        <v/>
      </c>
      <c r="Z571" s="237" t="str">
        <f>IF(Table1[[#This Row],[h_hargasebelumdiskon]]="","",IF(Table1[[#This Row],[Column14]]="",0,Table1[[#This Row],[h_hargasebelumdiskon]]*Table1[[#This Row],[Column14]]))</f>
        <v/>
      </c>
      <c r="AA571" s="237" t="str">
        <f>IF(Table1[[#This Row],[h_hargasebelumdiskon]]="","",IF(Table1[[#This Row],[Column15]]="",0,(Table1[[#This Row],[h_hargasebelumdiskon]]-Table1[[#This Row],[h_disc 1]])*Table1[[#This Row],[Column15]]))</f>
        <v/>
      </c>
      <c r="AB571" s="237" t="str">
        <f>IF(Table1[[#This Row],[Column12]]="","",Table1[[#This Row],[h_disc 1]]+Table1[[#This Row],[h_disc 2]])</f>
        <v/>
      </c>
      <c r="AC571" s="237" t="str">
        <f>IF(Table1[[#This Row],[Column12]]="","",Table1[[#This Row],[h_hargasebelumdiskon]]-Table1[[#This Row],[h_diskon]])</f>
        <v/>
      </c>
      <c r="AD571" s="237" t="str">
        <f ca="1">IF(Table1[[#This Row],[//]]="","",SUMIF(Table1[h_id],Table1[[#This Row],[h_id]],Table1[h_hargasetelahdiskon]))</f>
        <v/>
      </c>
      <c r="AF571" s="237" t="str">
        <f>Table1[[#This Row],[Column12]]&amp;Table1[[#This Row],[Unit]]&amp;Table1[[#This Row],[Column13]]</f>
        <v/>
      </c>
      <c r="AG571"/>
      <c r="AH571"/>
      <c r="AI571"/>
    </row>
    <row r="572" spans="1:35">
      <c r="A572" s="234" t="str">
        <f ca="1">IF(Table1[[#This Row],[No. Invoice :]]="","",ROW())</f>
        <v/>
      </c>
      <c r="B572" s="234" t="str">
        <f ca="1">IF(Table1[[#This Row],[Column3]]="","",B$1+COUNT(INDIRECT("B$2:B"&amp;ROW()-1)))</f>
        <v/>
      </c>
      <c r="C572" s="235" t="str">
        <f>IF(Table1[[#This Row],[Column2]]="","",Table1[[#This Row],[Column2]]+C$1-1)</f>
        <v/>
      </c>
      <c r="E572" s="236"/>
      <c r="F572" s="234"/>
      <c r="G572" s="234" t="str">
        <f ca="1">IF(Table1[[#This Row],[h_No. Invoice :]]="","",CONCATENATE("AM"," ",Table1[[#This Row],[h_No. Invoice :]]))</f>
        <v/>
      </c>
      <c r="H572" s="234" t="str">
        <f>IF(Table1[[#This Row],[Column5]]="","",INDEX(Table2[Column1],MATCH(Table1[[#This Row],[Column5]],Table2[a],0)))</f>
        <v/>
      </c>
      <c r="I572" s="234" t="str">
        <f>IF(Table1[[#This Row],[Column3]]=0,"",CONCATENATE(UPPER(Table1[[#This Row],[Column3]])," ",Table1[[#This Row],[Column4]]))</f>
        <v xml:space="preserve"> </v>
      </c>
      <c r="J572" s="234" t="str">
        <f>IF(Table1[[#This Row],[Column5]]="","",INDEX(Table2[e],IF(Table1[[#This Row],[Column5]]="","",MATCH(Table1[[#This Row],[Column5]],Table2[a],0)),))</f>
        <v/>
      </c>
      <c r="K572" s="234"/>
      <c r="L572" s="234"/>
      <c r="O572" s="234" t="str">
        <f>IF(Table1[[#This Row],[h_Item Description]]="","",INDEX([1]!db[NB PAJAK],MATCH(Table1[[#This Row],[h_Item Description]],[1]!db[kode],0)))</f>
        <v/>
      </c>
      <c r="Q572" s="237"/>
      <c r="R572" s="238"/>
      <c r="S572" s="238"/>
      <c r="T572" s="237" t="str">
        <f>Table1[[#This Row],[h_hargasetelahdiskon]]</f>
        <v/>
      </c>
      <c r="V572" s="234"/>
      <c r="W572" s="234" t="str">
        <f ca="1">IF(Table1[[#This Row],[Column12]]="","",IF(Table1[[#This Row],[//]]="",INDIRECT(ADDRESS(ROW()-1,COLUMN())),Table1[[#This Row],[//]]))</f>
        <v/>
      </c>
      <c r="X572" s="234" t="str">
        <f ca="1">IF(Table1[[#This Row],[h_id]]="","",COUNTIF(Table1[h_id],Table1[[#This Row],[h_id]]))</f>
        <v/>
      </c>
      <c r="Y572" s="237" t="str">
        <f>IF(Table1[[#This Row],[Column12]]="","",Table1[[#This Row],[Qty]]*Table1[[#This Row],[Column13]])</f>
        <v/>
      </c>
      <c r="Z572" s="237" t="str">
        <f>IF(Table1[[#This Row],[h_hargasebelumdiskon]]="","",IF(Table1[[#This Row],[Column14]]="",0,Table1[[#This Row],[h_hargasebelumdiskon]]*Table1[[#This Row],[Column14]]))</f>
        <v/>
      </c>
      <c r="AA572" s="237" t="str">
        <f>IF(Table1[[#This Row],[h_hargasebelumdiskon]]="","",IF(Table1[[#This Row],[Column15]]="",0,(Table1[[#This Row],[h_hargasebelumdiskon]]-Table1[[#This Row],[h_disc 1]])*Table1[[#This Row],[Column15]]))</f>
        <v/>
      </c>
      <c r="AB572" s="237" t="str">
        <f>IF(Table1[[#This Row],[Column12]]="","",Table1[[#This Row],[h_disc 1]]+Table1[[#This Row],[h_disc 2]])</f>
        <v/>
      </c>
      <c r="AC572" s="237" t="str">
        <f>IF(Table1[[#This Row],[Column12]]="","",Table1[[#This Row],[h_hargasebelumdiskon]]-Table1[[#This Row],[h_diskon]])</f>
        <v/>
      </c>
      <c r="AD572" s="237" t="str">
        <f ca="1">IF(Table1[[#This Row],[//]]="","",SUMIF(Table1[h_id],Table1[[#This Row],[h_id]],Table1[h_hargasetelahdiskon]))</f>
        <v/>
      </c>
      <c r="AF572" s="237" t="str">
        <f>Table1[[#This Row],[Column12]]&amp;Table1[[#This Row],[Unit]]&amp;Table1[[#This Row],[Column13]]</f>
        <v/>
      </c>
      <c r="AG572"/>
      <c r="AH572"/>
      <c r="AI572"/>
    </row>
    <row r="573" spans="1:35">
      <c r="A573" s="234" t="str">
        <f ca="1">IF(Table1[[#This Row],[No. Invoice :]]="","",ROW())</f>
        <v/>
      </c>
      <c r="B573" s="234" t="str">
        <f ca="1">IF(Table1[[#This Row],[Column3]]="","",B$1+COUNT(INDIRECT("B$2:B"&amp;ROW()-1)))</f>
        <v/>
      </c>
      <c r="C573" s="235" t="str">
        <f>IF(Table1[[#This Row],[Column2]]="","",Table1[[#This Row],[Column2]]+C$1-1)</f>
        <v/>
      </c>
      <c r="E573" s="236"/>
      <c r="F573" s="234"/>
      <c r="G573" s="234" t="str">
        <f ca="1">IF(Table1[[#This Row],[h_No. Invoice :]]="","",CONCATENATE("AM"," ",Table1[[#This Row],[h_No. Invoice :]]))</f>
        <v/>
      </c>
      <c r="H573" s="234" t="str">
        <f>IF(Table1[[#This Row],[Column5]]="","",INDEX(Table2[Column1],MATCH(Table1[[#This Row],[Column5]],Table2[a],0)))</f>
        <v/>
      </c>
      <c r="I573" s="234" t="str">
        <f>IF(Table1[[#This Row],[Column3]]=0,"",CONCATENATE(UPPER(Table1[[#This Row],[Column3]])," ",Table1[[#This Row],[Column4]]))</f>
        <v xml:space="preserve"> </v>
      </c>
      <c r="J573" s="234" t="str">
        <f>IF(Table1[[#This Row],[Column5]]="","",INDEX(Table2[e],IF(Table1[[#This Row],[Column5]]="","",MATCH(Table1[[#This Row],[Column5]],Table2[a],0)),))</f>
        <v/>
      </c>
      <c r="K573" s="234"/>
      <c r="L573" s="234"/>
      <c r="O573" s="234" t="str">
        <f>IF(Table1[[#This Row],[h_Item Description]]="","",INDEX([1]!db[NB PAJAK],MATCH(Table1[[#This Row],[h_Item Description]],[1]!db[kode],0)))</f>
        <v/>
      </c>
      <c r="Q573" s="237"/>
      <c r="R573" s="238"/>
      <c r="S573" s="238"/>
      <c r="T573" s="237" t="str">
        <f>Table1[[#This Row],[h_hargasetelahdiskon]]</f>
        <v/>
      </c>
      <c r="V573" s="234"/>
      <c r="W573" s="234" t="str">
        <f ca="1">IF(Table1[[#This Row],[Column12]]="","",IF(Table1[[#This Row],[//]]="",INDIRECT(ADDRESS(ROW()-1,COLUMN())),Table1[[#This Row],[//]]))</f>
        <v/>
      </c>
      <c r="X573" s="234" t="str">
        <f ca="1">IF(Table1[[#This Row],[h_id]]="","",COUNTIF(Table1[h_id],Table1[[#This Row],[h_id]]))</f>
        <v/>
      </c>
      <c r="Y573" s="237" t="str">
        <f>IF(Table1[[#This Row],[Column12]]="","",Table1[[#This Row],[Qty]]*Table1[[#This Row],[Column13]])</f>
        <v/>
      </c>
      <c r="Z573" s="237" t="str">
        <f>IF(Table1[[#This Row],[h_hargasebelumdiskon]]="","",IF(Table1[[#This Row],[Column14]]="",0,Table1[[#This Row],[h_hargasebelumdiskon]]*Table1[[#This Row],[Column14]]))</f>
        <v/>
      </c>
      <c r="AA573" s="237" t="str">
        <f>IF(Table1[[#This Row],[h_hargasebelumdiskon]]="","",IF(Table1[[#This Row],[Column15]]="",0,(Table1[[#This Row],[h_hargasebelumdiskon]]-Table1[[#This Row],[h_disc 1]])*Table1[[#This Row],[Column15]]))</f>
        <v/>
      </c>
      <c r="AB573" s="237" t="str">
        <f>IF(Table1[[#This Row],[Column12]]="","",Table1[[#This Row],[h_disc 1]]+Table1[[#This Row],[h_disc 2]])</f>
        <v/>
      </c>
      <c r="AC573" s="237" t="str">
        <f>IF(Table1[[#This Row],[Column12]]="","",Table1[[#This Row],[h_hargasebelumdiskon]]-Table1[[#This Row],[h_diskon]])</f>
        <v/>
      </c>
      <c r="AD573" s="237" t="str">
        <f ca="1">IF(Table1[[#This Row],[//]]="","",SUMIF(Table1[h_id],Table1[[#This Row],[h_id]],Table1[h_hargasetelahdiskon]))</f>
        <v/>
      </c>
      <c r="AF573" s="237" t="str">
        <f>Table1[[#This Row],[Column12]]&amp;Table1[[#This Row],[Unit]]&amp;Table1[[#This Row],[Column13]]</f>
        <v/>
      </c>
      <c r="AG573"/>
      <c r="AH573"/>
      <c r="AI573"/>
    </row>
    <row r="574" spans="1:35">
      <c r="A574" s="234" t="str">
        <f ca="1">IF(Table1[[#This Row],[No. Invoice :]]="","",ROW())</f>
        <v/>
      </c>
      <c r="B574" s="234" t="str">
        <f ca="1">IF(Table1[[#This Row],[Column3]]="","",B$1+COUNT(INDIRECT("B$2:B"&amp;ROW()-1)))</f>
        <v/>
      </c>
      <c r="C574" s="235" t="str">
        <f>IF(Table1[[#This Row],[Column2]]="","",Table1[[#This Row],[Column2]]+C$1-1)</f>
        <v/>
      </c>
      <c r="E574" s="236"/>
      <c r="F574" s="234"/>
      <c r="G574" s="234" t="str">
        <f ca="1">IF(Table1[[#This Row],[h_No. Invoice :]]="","",CONCATENATE("AM"," ",Table1[[#This Row],[h_No. Invoice :]]))</f>
        <v/>
      </c>
      <c r="H574" s="234" t="str">
        <f>IF(Table1[[#This Row],[Column5]]="","",INDEX(Table2[Column1],MATCH(Table1[[#This Row],[Column5]],Table2[a],0)))</f>
        <v/>
      </c>
      <c r="I574" s="234" t="str">
        <f>IF(Table1[[#This Row],[Column3]]=0,"",CONCATENATE(UPPER(Table1[[#This Row],[Column3]])," ",Table1[[#This Row],[Column4]]))</f>
        <v xml:space="preserve"> </v>
      </c>
      <c r="J574" s="234" t="str">
        <f>IF(Table1[[#This Row],[Column5]]="","",INDEX(Table2[e],IF(Table1[[#This Row],[Column5]]="","",MATCH(Table1[[#This Row],[Column5]],Table2[a],0)),))</f>
        <v/>
      </c>
      <c r="K574" s="234"/>
      <c r="L574" s="234"/>
      <c r="O574" s="234" t="str">
        <f>IF(Table1[[#This Row],[h_Item Description]]="","",INDEX([1]!db[NB PAJAK],MATCH(Table1[[#This Row],[h_Item Description]],[1]!db[kode],0)))</f>
        <v/>
      </c>
      <c r="Q574" s="237"/>
      <c r="R574" s="238"/>
      <c r="S574" s="238"/>
      <c r="T574" s="237" t="str">
        <f>Table1[[#This Row],[h_hargasetelahdiskon]]</f>
        <v/>
      </c>
      <c r="V574" s="234"/>
      <c r="W574" s="234" t="str">
        <f ca="1">IF(Table1[[#This Row],[Column12]]="","",IF(Table1[[#This Row],[//]]="",INDIRECT(ADDRESS(ROW()-1,COLUMN())),Table1[[#This Row],[//]]))</f>
        <v/>
      </c>
      <c r="X574" s="234" t="str">
        <f ca="1">IF(Table1[[#This Row],[h_id]]="","",COUNTIF(Table1[h_id],Table1[[#This Row],[h_id]]))</f>
        <v/>
      </c>
      <c r="Y574" s="237" t="str">
        <f>IF(Table1[[#This Row],[Column12]]="","",Table1[[#This Row],[Qty]]*Table1[[#This Row],[Column13]])</f>
        <v/>
      </c>
      <c r="Z574" s="237" t="str">
        <f>IF(Table1[[#This Row],[h_hargasebelumdiskon]]="","",IF(Table1[[#This Row],[Column14]]="",0,Table1[[#This Row],[h_hargasebelumdiskon]]*Table1[[#This Row],[Column14]]))</f>
        <v/>
      </c>
      <c r="AA574" s="237" t="str">
        <f>IF(Table1[[#This Row],[h_hargasebelumdiskon]]="","",IF(Table1[[#This Row],[Column15]]="",0,(Table1[[#This Row],[h_hargasebelumdiskon]]-Table1[[#This Row],[h_disc 1]])*Table1[[#This Row],[Column15]]))</f>
        <v/>
      </c>
      <c r="AB574" s="237" t="str">
        <f>IF(Table1[[#This Row],[Column12]]="","",Table1[[#This Row],[h_disc 1]]+Table1[[#This Row],[h_disc 2]])</f>
        <v/>
      </c>
      <c r="AC574" s="237" t="str">
        <f>IF(Table1[[#This Row],[Column12]]="","",Table1[[#This Row],[h_hargasebelumdiskon]]-Table1[[#This Row],[h_diskon]])</f>
        <v/>
      </c>
      <c r="AD574" s="237" t="str">
        <f ca="1">IF(Table1[[#This Row],[//]]="","",SUMIF(Table1[h_id],Table1[[#This Row],[h_id]],Table1[h_hargasetelahdiskon]))</f>
        <v/>
      </c>
      <c r="AF574" s="237" t="str">
        <f>Table1[[#This Row],[Column12]]&amp;Table1[[#This Row],[Unit]]&amp;Table1[[#This Row],[Column13]]</f>
        <v/>
      </c>
      <c r="AG574"/>
      <c r="AH574"/>
      <c r="AI574"/>
    </row>
    <row r="575" spans="1:35">
      <c r="A575" s="234" t="str">
        <f ca="1">IF(Table1[[#This Row],[No. Invoice :]]="","",ROW())</f>
        <v/>
      </c>
      <c r="B575" s="234" t="str">
        <f ca="1">IF(Table1[[#This Row],[Column3]]="","",B$1+COUNT(INDIRECT("B$2:B"&amp;ROW()-1)))</f>
        <v/>
      </c>
      <c r="C575" s="235" t="str">
        <f>IF(Table1[[#This Row],[Column2]]="","",Table1[[#This Row],[Column2]]+C$1-1)</f>
        <v/>
      </c>
      <c r="E575" s="236"/>
      <c r="F575" s="234"/>
      <c r="G575" s="234" t="str">
        <f ca="1">IF(Table1[[#This Row],[h_No. Invoice :]]="","",CONCATENATE("AM"," ",Table1[[#This Row],[h_No. Invoice :]]))</f>
        <v/>
      </c>
      <c r="H575" s="234" t="str">
        <f>IF(Table1[[#This Row],[Column5]]="","",INDEX(Table2[Column1],MATCH(Table1[[#This Row],[Column5]],Table2[a],0)))</f>
        <v/>
      </c>
      <c r="I575" s="234" t="str">
        <f>IF(Table1[[#This Row],[Column3]]=0,"",CONCATENATE(UPPER(Table1[[#This Row],[Column3]])," ",Table1[[#This Row],[Column4]]))</f>
        <v xml:space="preserve"> </v>
      </c>
      <c r="J575" s="234" t="str">
        <f>IF(Table1[[#This Row],[Column5]]="","",INDEX(Table2[e],IF(Table1[[#This Row],[Column5]]="","",MATCH(Table1[[#This Row],[Column5]],Table2[a],0)),))</f>
        <v/>
      </c>
      <c r="K575" s="234"/>
      <c r="L575" s="234"/>
      <c r="O575" s="234" t="str">
        <f>IF(Table1[[#This Row],[h_Item Description]]="","",INDEX([1]!db[NB PAJAK],MATCH(Table1[[#This Row],[h_Item Description]],[1]!db[kode],0)))</f>
        <v/>
      </c>
      <c r="Q575" s="237"/>
      <c r="R575" s="238"/>
      <c r="S575" s="238"/>
      <c r="T575" s="237" t="str">
        <f>Table1[[#This Row],[h_hargasetelahdiskon]]</f>
        <v/>
      </c>
      <c r="V575" s="234"/>
      <c r="W575" s="234" t="str">
        <f ca="1">IF(Table1[[#This Row],[Column12]]="","",IF(Table1[[#This Row],[//]]="",INDIRECT(ADDRESS(ROW()-1,COLUMN())),Table1[[#This Row],[//]]))</f>
        <v/>
      </c>
      <c r="X575" s="234" t="str">
        <f ca="1">IF(Table1[[#This Row],[h_id]]="","",COUNTIF(Table1[h_id],Table1[[#This Row],[h_id]]))</f>
        <v/>
      </c>
      <c r="Y575" s="237" t="str">
        <f>IF(Table1[[#This Row],[Column12]]="","",Table1[[#This Row],[Qty]]*Table1[[#This Row],[Column13]])</f>
        <v/>
      </c>
      <c r="Z575" s="237" t="str">
        <f>IF(Table1[[#This Row],[h_hargasebelumdiskon]]="","",IF(Table1[[#This Row],[Column14]]="",0,Table1[[#This Row],[h_hargasebelumdiskon]]*Table1[[#This Row],[Column14]]))</f>
        <v/>
      </c>
      <c r="AA575" s="237" t="str">
        <f>IF(Table1[[#This Row],[h_hargasebelumdiskon]]="","",IF(Table1[[#This Row],[Column15]]="",0,(Table1[[#This Row],[h_hargasebelumdiskon]]-Table1[[#This Row],[h_disc 1]])*Table1[[#This Row],[Column15]]))</f>
        <v/>
      </c>
      <c r="AB575" s="237" t="str">
        <f>IF(Table1[[#This Row],[Column12]]="","",Table1[[#This Row],[h_disc 1]]+Table1[[#This Row],[h_disc 2]])</f>
        <v/>
      </c>
      <c r="AC575" s="237" t="str">
        <f>IF(Table1[[#This Row],[Column12]]="","",Table1[[#This Row],[h_hargasebelumdiskon]]-Table1[[#This Row],[h_diskon]])</f>
        <v/>
      </c>
      <c r="AD575" s="237" t="str">
        <f ca="1">IF(Table1[[#This Row],[//]]="","",SUMIF(Table1[h_id],Table1[[#This Row],[h_id]],Table1[h_hargasetelahdiskon]))</f>
        <v/>
      </c>
      <c r="AF575" s="237" t="str">
        <f>Table1[[#This Row],[Column12]]&amp;Table1[[#This Row],[Unit]]&amp;Table1[[#This Row],[Column13]]</f>
        <v/>
      </c>
      <c r="AG575"/>
      <c r="AH575"/>
      <c r="AI575"/>
    </row>
    <row r="576" spans="1:35">
      <c r="A576" s="234" t="str">
        <f ca="1">IF(Table1[[#This Row],[No. Invoice :]]="","",ROW())</f>
        <v/>
      </c>
      <c r="B576" s="234" t="str">
        <f ca="1">IF(Table1[[#This Row],[Column3]]="","",B$1+COUNT(INDIRECT("B$2:B"&amp;ROW()-1)))</f>
        <v/>
      </c>
      <c r="C576" s="235" t="str">
        <f>IF(Table1[[#This Row],[Column2]]="","",Table1[[#This Row],[Column2]]+C$1-1)</f>
        <v/>
      </c>
      <c r="E576" s="236"/>
      <c r="F576" s="234"/>
      <c r="G576" s="234" t="str">
        <f ca="1">IF(Table1[[#This Row],[h_No. Invoice :]]="","",CONCATENATE("AM"," ",Table1[[#This Row],[h_No. Invoice :]]))</f>
        <v/>
      </c>
      <c r="H576" s="234" t="str">
        <f>IF(Table1[[#This Row],[Column5]]="","",INDEX(Table2[Column1],MATCH(Table1[[#This Row],[Column5]],Table2[a],0)))</f>
        <v/>
      </c>
      <c r="I576" s="234" t="str">
        <f>IF(Table1[[#This Row],[Column3]]=0,"",CONCATENATE(UPPER(Table1[[#This Row],[Column3]])," ",Table1[[#This Row],[Column4]]))</f>
        <v xml:space="preserve"> </v>
      </c>
      <c r="J576" s="234" t="str">
        <f>IF(Table1[[#This Row],[Column5]]="","",INDEX(Table2[e],IF(Table1[[#This Row],[Column5]]="","",MATCH(Table1[[#This Row],[Column5]],Table2[a],0)),))</f>
        <v/>
      </c>
      <c r="K576" s="234"/>
      <c r="L576" s="234"/>
      <c r="O576" s="234" t="str">
        <f>IF(Table1[[#This Row],[h_Item Description]]="","",INDEX([1]!db[NB PAJAK],MATCH(Table1[[#This Row],[h_Item Description]],[1]!db[kode],0)))</f>
        <v/>
      </c>
      <c r="Q576" s="237"/>
      <c r="R576" s="238"/>
      <c r="S576" s="238"/>
      <c r="T576" s="237" t="str">
        <f>Table1[[#This Row],[h_hargasetelahdiskon]]</f>
        <v/>
      </c>
      <c r="V576" s="234"/>
      <c r="W576" s="234" t="str">
        <f ca="1">IF(Table1[[#This Row],[Column12]]="","",IF(Table1[[#This Row],[//]]="",INDIRECT(ADDRESS(ROW()-1,COLUMN())),Table1[[#This Row],[//]]))</f>
        <v/>
      </c>
      <c r="X576" s="234" t="str">
        <f ca="1">IF(Table1[[#This Row],[h_id]]="","",COUNTIF(Table1[h_id],Table1[[#This Row],[h_id]]))</f>
        <v/>
      </c>
      <c r="Y576" s="237" t="str">
        <f>IF(Table1[[#This Row],[Column12]]="","",Table1[[#This Row],[Qty]]*Table1[[#This Row],[Column13]])</f>
        <v/>
      </c>
      <c r="Z576" s="237" t="str">
        <f>IF(Table1[[#This Row],[h_hargasebelumdiskon]]="","",IF(Table1[[#This Row],[Column14]]="",0,Table1[[#This Row],[h_hargasebelumdiskon]]*Table1[[#This Row],[Column14]]))</f>
        <v/>
      </c>
      <c r="AA576" s="237" t="str">
        <f>IF(Table1[[#This Row],[h_hargasebelumdiskon]]="","",IF(Table1[[#This Row],[Column15]]="",0,(Table1[[#This Row],[h_hargasebelumdiskon]]-Table1[[#This Row],[h_disc 1]])*Table1[[#This Row],[Column15]]))</f>
        <v/>
      </c>
      <c r="AB576" s="237" t="str">
        <f>IF(Table1[[#This Row],[Column12]]="","",Table1[[#This Row],[h_disc 1]]+Table1[[#This Row],[h_disc 2]])</f>
        <v/>
      </c>
      <c r="AC576" s="237" t="str">
        <f>IF(Table1[[#This Row],[Column12]]="","",Table1[[#This Row],[h_hargasebelumdiskon]]-Table1[[#This Row],[h_diskon]])</f>
        <v/>
      </c>
      <c r="AD576" s="237" t="str">
        <f ca="1">IF(Table1[[#This Row],[//]]="","",SUMIF(Table1[h_id],Table1[[#This Row],[h_id]],Table1[h_hargasetelahdiskon]))</f>
        <v/>
      </c>
      <c r="AF576" s="237" t="str">
        <f>Table1[[#This Row],[Column12]]&amp;Table1[[#This Row],[Unit]]&amp;Table1[[#This Row],[Column13]]</f>
        <v/>
      </c>
      <c r="AG576"/>
      <c r="AH576"/>
      <c r="AI576"/>
    </row>
    <row r="577" spans="1:35">
      <c r="A577" s="234" t="str">
        <f ca="1">IF(Table1[[#This Row],[No. Invoice :]]="","",ROW())</f>
        <v/>
      </c>
      <c r="B577" s="234" t="str">
        <f ca="1">IF(Table1[[#This Row],[Column3]]="","",B$1+COUNT(INDIRECT("B$2:B"&amp;ROW()-1)))</f>
        <v/>
      </c>
      <c r="C577" s="235" t="str">
        <f>IF(Table1[[#This Row],[Column2]]="","",Table1[[#This Row],[Column2]]+C$1-1)</f>
        <v/>
      </c>
      <c r="E577" s="236"/>
      <c r="F577" s="234"/>
      <c r="G577" s="234" t="str">
        <f ca="1">IF(Table1[[#This Row],[h_No. Invoice :]]="","",CONCATENATE("AM"," ",Table1[[#This Row],[h_No. Invoice :]]))</f>
        <v/>
      </c>
      <c r="H577" s="234" t="str">
        <f>IF(Table1[[#This Row],[Column5]]="","",INDEX(Table2[Column1],MATCH(Table1[[#This Row],[Column5]],Table2[a],0)))</f>
        <v/>
      </c>
      <c r="I577" s="234" t="str">
        <f>IF(Table1[[#This Row],[Column3]]=0,"",CONCATENATE(UPPER(Table1[[#This Row],[Column3]])," ",Table1[[#This Row],[Column4]]))</f>
        <v xml:space="preserve"> </v>
      </c>
      <c r="J577" s="234" t="str">
        <f>IF(Table1[[#This Row],[Column5]]="","",INDEX(Table2[e],IF(Table1[[#This Row],[Column5]]="","",MATCH(Table1[[#This Row],[Column5]],Table2[a],0)),))</f>
        <v/>
      </c>
      <c r="K577" s="234"/>
      <c r="L577" s="234"/>
      <c r="O577" s="234" t="str">
        <f>IF(Table1[[#This Row],[h_Item Description]]="","",INDEX([1]!db[NB PAJAK],MATCH(Table1[[#This Row],[h_Item Description]],[1]!db[kode],0)))</f>
        <v/>
      </c>
      <c r="Q577" s="237"/>
      <c r="R577" s="238"/>
      <c r="S577" s="238"/>
      <c r="T577" s="237" t="str">
        <f>Table1[[#This Row],[h_hargasetelahdiskon]]</f>
        <v/>
      </c>
      <c r="V577" s="234"/>
      <c r="W577" s="234" t="str">
        <f ca="1">IF(Table1[[#This Row],[Column12]]="","",IF(Table1[[#This Row],[//]]="",INDIRECT(ADDRESS(ROW()-1,COLUMN())),Table1[[#This Row],[//]]))</f>
        <v/>
      </c>
      <c r="X577" s="234" t="str">
        <f ca="1">IF(Table1[[#This Row],[h_id]]="","",COUNTIF(Table1[h_id],Table1[[#This Row],[h_id]]))</f>
        <v/>
      </c>
      <c r="Y577" s="237" t="str">
        <f>IF(Table1[[#This Row],[Column12]]="","",Table1[[#This Row],[Qty]]*Table1[[#This Row],[Column13]])</f>
        <v/>
      </c>
      <c r="Z577" s="237" t="str">
        <f>IF(Table1[[#This Row],[h_hargasebelumdiskon]]="","",IF(Table1[[#This Row],[Column14]]="",0,Table1[[#This Row],[h_hargasebelumdiskon]]*Table1[[#This Row],[Column14]]))</f>
        <v/>
      </c>
      <c r="AA577" s="237" t="str">
        <f>IF(Table1[[#This Row],[h_hargasebelumdiskon]]="","",IF(Table1[[#This Row],[Column15]]="",0,(Table1[[#This Row],[h_hargasebelumdiskon]]-Table1[[#This Row],[h_disc 1]])*Table1[[#This Row],[Column15]]))</f>
        <v/>
      </c>
      <c r="AB577" s="237" t="str">
        <f>IF(Table1[[#This Row],[Column12]]="","",Table1[[#This Row],[h_disc 1]]+Table1[[#This Row],[h_disc 2]])</f>
        <v/>
      </c>
      <c r="AC577" s="237" t="str">
        <f>IF(Table1[[#This Row],[Column12]]="","",Table1[[#This Row],[h_hargasebelumdiskon]]-Table1[[#This Row],[h_diskon]])</f>
        <v/>
      </c>
      <c r="AD577" s="237" t="str">
        <f ca="1">IF(Table1[[#This Row],[//]]="","",SUMIF(Table1[h_id],Table1[[#This Row],[h_id]],Table1[h_hargasetelahdiskon]))</f>
        <v/>
      </c>
      <c r="AF577" s="237" t="str">
        <f>Table1[[#This Row],[Column12]]&amp;Table1[[#This Row],[Unit]]&amp;Table1[[#This Row],[Column13]]</f>
        <v/>
      </c>
      <c r="AG577"/>
      <c r="AH577"/>
      <c r="AI577"/>
    </row>
    <row r="578" spans="1:35">
      <c r="A578" s="234" t="str">
        <f ca="1">IF(Table1[[#This Row],[No. Invoice :]]="","",ROW())</f>
        <v/>
      </c>
      <c r="B578" s="234" t="str">
        <f ca="1">IF(Table1[[#This Row],[Column3]]="","",B$1+COUNT(INDIRECT("B$2:B"&amp;ROW()-1)))</f>
        <v/>
      </c>
      <c r="C578" s="235" t="str">
        <f>IF(Table1[[#This Row],[Column2]]="","",Table1[[#This Row],[Column2]]+C$1-1)</f>
        <v/>
      </c>
      <c r="E578" s="236"/>
      <c r="F578" s="234"/>
      <c r="G578" s="234" t="str">
        <f ca="1">IF(Table1[[#This Row],[h_No. Invoice :]]="","",CONCATENATE("AM"," ",Table1[[#This Row],[h_No. Invoice :]]))</f>
        <v/>
      </c>
      <c r="H578" s="234" t="str">
        <f>IF(Table1[[#This Row],[Column5]]="","",INDEX(Table2[Column1],MATCH(Table1[[#This Row],[Column5]],Table2[a],0)))</f>
        <v/>
      </c>
      <c r="I578" s="234" t="str">
        <f>IF(Table1[[#This Row],[Column3]]=0,"",CONCATENATE(UPPER(Table1[[#This Row],[Column3]])," ",Table1[[#This Row],[Column4]]))</f>
        <v xml:space="preserve"> </v>
      </c>
      <c r="J578" s="234" t="str">
        <f>IF(Table1[[#This Row],[Column5]]="","",INDEX(Table2[e],IF(Table1[[#This Row],[Column5]]="","",MATCH(Table1[[#This Row],[Column5]],Table2[a],0)),))</f>
        <v/>
      </c>
      <c r="K578" s="234"/>
      <c r="L578" s="234"/>
      <c r="O578" s="234" t="str">
        <f>IF(Table1[[#This Row],[h_Item Description]]="","",INDEX([1]!db[NB PAJAK],MATCH(Table1[[#This Row],[h_Item Description]],[1]!db[kode],0)))</f>
        <v/>
      </c>
      <c r="Q578" s="237"/>
      <c r="R578" s="238"/>
      <c r="S578" s="238"/>
      <c r="T578" s="237" t="str">
        <f>Table1[[#This Row],[h_hargasetelahdiskon]]</f>
        <v/>
      </c>
      <c r="V578" s="234"/>
      <c r="W578" s="234" t="str">
        <f ca="1">IF(Table1[[#This Row],[Column12]]="","",IF(Table1[[#This Row],[//]]="",INDIRECT(ADDRESS(ROW()-1,COLUMN())),Table1[[#This Row],[//]]))</f>
        <v/>
      </c>
      <c r="X578" s="234" t="str">
        <f ca="1">IF(Table1[[#This Row],[h_id]]="","",COUNTIF(Table1[h_id],Table1[[#This Row],[h_id]]))</f>
        <v/>
      </c>
      <c r="Y578" s="237" t="str">
        <f>IF(Table1[[#This Row],[Column12]]="","",Table1[[#This Row],[Qty]]*Table1[[#This Row],[Column13]])</f>
        <v/>
      </c>
      <c r="Z578" s="237" t="str">
        <f>IF(Table1[[#This Row],[h_hargasebelumdiskon]]="","",IF(Table1[[#This Row],[Column14]]="",0,Table1[[#This Row],[h_hargasebelumdiskon]]*Table1[[#This Row],[Column14]]))</f>
        <v/>
      </c>
      <c r="AA578" s="237" t="str">
        <f>IF(Table1[[#This Row],[h_hargasebelumdiskon]]="","",IF(Table1[[#This Row],[Column15]]="",0,(Table1[[#This Row],[h_hargasebelumdiskon]]-Table1[[#This Row],[h_disc 1]])*Table1[[#This Row],[Column15]]))</f>
        <v/>
      </c>
      <c r="AB578" s="237" t="str">
        <f>IF(Table1[[#This Row],[Column12]]="","",Table1[[#This Row],[h_disc 1]]+Table1[[#This Row],[h_disc 2]])</f>
        <v/>
      </c>
      <c r="AC578" s="237" t="str">
        <f>IF(Table1[[#This Row],[Column12]]="","",Table1[[#This Row],[h_hargasebelumdiskon]]-Table1[[#This Row],[h_diskon]])</f>
        <v/>
      </c>
      <c r="AD578" s="237" t="str">
        <f ca="1">IF(Table1[[#This Row],[//]]="","",SUMIF(Table1[h_id],Table1[[#This Row],[h_id]],Table1[h_hargasetelahdiskon]))</f>
        <v/>
      </c>
      <c r="AF578" s="237" t="str">
        <f>Table1[[#This Row],[Column12]]&amp;Table1[[#This Row],[Unit]]&amp;Table1[[#This Row],[Column13]]</f>
        <v/>
      </c>
      <c r="AG578"/>
      <c r="AH578"/>
      <c r="AI578"/>
    </row>
    <row r="579" spans="1:35">
      <c r="A579" s="234" t="str">
        <f ca="1">IF(Table1[[#This Row],[No. Invoice :]]="","",ROW())</f>
        <v/>
      </c>
      <c r="B579" s="234" t="str">
        <f ca="1">IF(Table1[[#This Row],[Column3]]="","",B$1+COUNT(INDIRECT("B$2:B"&amp;ROW()-1)))</f>
        <v/>
      </c>
      <c r="C579" s="235" t="str">
        <f>IF(Table1[[#This Row],[Column2]]="","",Table1[[#This Row],[Column2]]+C$1-1)</f>
        <v/>
      </c>
      <c r="E579" s="236"/>
      <c r="F579" s="234"/>
      <c r="G579" s="234" t="str">
        <f ca="1">IF(Table1[[#This Row],[h_No. Invoice :]]="","",CONCATENATE("AM"," ",Table1[[#This Row],[h_No. Invoice :]]))</f>
        <v/>
      </c>
      <c r="H579" s="234" t="str">
        <f>IF(Table1[[#This Row],[Column5]]="","",INDEX(Table2[Column1],MATCH(Table1[[#This Row],[Column5]],Table2[a],0)))</f>
        <v/>
      </c>
      <c r="I579" s="234" t="str">
        <f>IF(Table1[[#This Row],[Column3]]=0,"",CONCATENATE(UPPER(Table1[[#This Row],[Column3]])," ",Table1[[#This Row],[Column4]]))</f>
        <v xml:space="preserve"> </v>
      </c>
      <c r="J579" s="234" t="str">
        <f>IF(Table1[[#This Row],[Column5]]="","",INDEX(Table2[e],IF(Table1[[#This Row],[Column5]]="","",MATCH(Table1[[#This Row],[Column5]],Table2[a],0)),))</f>
        <v/>
      </c>
      <c r="K579" s="234"/>
      <c r="L579" s="234"/>
      <c r="O579" s="234" t="str">
        <f>IF(Table1[[#This Row],[h_Item Description]]="","",INDEX([1]!db[NB PAJAK],MATCH(Table1[[#This Row],[h_Item Description]],[1]!db[kode],0)))</f>
        <v/>
      </c>
      <c r="Q579" s="237"/>
      <c r="R579" s="238"/>
      <c r="S579" s="238"/>
      <c r="T579" s="237" t="str">
        <f>Table1[[#This Row],[h_hargasetelahdiskon]]</f>
        <v/>
      </c>
      <c r="V579" s="234"/>
      <c r="W579" s="234" t="str">
        <f ca="1">IF(Table1[[#This Row],[Column12]]="","",IF(Table1[[#This Row],[//]]="",INDIRECT(ADDRESS(ROW()-1,COLUMN())),Table1[[#This Row],[//]]))</f>
        <v/>
      </c>
      <c r="X579" s="234" t="str">
        <f ca="1">IF(Table1[[#This Row],[h_id]]="","",COUNTIF(Table1[h_id],Table1[[#This Row],[h_id]]))</f>
        <v/>
      </c>
      <c r="Y579" s="237" t="str">
        <f>IF(Table1[[#This Row],[Column12]]="","",Table1[[#This Row],[Qty]]*Table1[[#This Row],[Column13]])</f>
        <v/>
      </c>
      <c r="Z579" s="237" t="str">
        <f>IF(Table1[[#This Row],[h_hargasebelumdiskon]]="","",IF(Table1[[#This Row],[Column14]]="",0,Table1[[#This Row],[h_hargasebelumdiskon]]*Table1[[#This Row],[Column14]]))</f>
        <v/>
      </c>
      <c r="AA579" s="237" t="str">
        <f>IF(Table1[[#This Row],[h_hargasebelumdiskon]]="","",IF(Table1[[#This Row],[Column15]]="",0,(Table1[[#This Row],[h_hargasebelumdiskon]]-Table1[[#This Row],[h_disc 1]])*Table1[[#This Row],[Column15]]))</f>
        <v/>
      </c>
      <c r="AB579" s="237" t="str">
        <f>IF(Table1[[#This Row],[Column12]]="","",Table1[[#This Row],[h_disc 1]]+Table1[[#This Row],[h_disc 2]])</f>
        <v/>
      </c>
      <c r="AC579" s="237" t="str">
        <f>IF(Table1[[#This Row],[Column12]]="","",Table1[[#This Row],[h_hargasebelumdiskon]]-Table1[[#This Row],[h_diskon]])</f>
        <v/>
      </c>
      <c r="AD579" s="237" t="str">
        <f ca="1">IF(Table1[[#This Row],[//]]="","",SUMIF(Table1[h_id],Table1[[#This Row],[h_id]],Table1[h_hargasetelahdiskon]))</f>
        <v/>
      </c>
      <c r="AF579" s="237" t="str">
        <f>Table1[[#This Row],[Column12]]&amp;Table1[[#This Row],[Unit]]&amp;Table1[[#This Row],[Column13]]</f>
        <v/>
      </c>
      <c r="AG579"/>
      <c r="AH579"/>
      <c r="AI579"/>
    </row>
    <row r="580" spans="1:35">
      <c r="A580" s="234" t="str">
        <f ca="1">IF(Table1[[#This Row],[No. Invoice :]]="","",ROW())</f>
        <v/>
      </c>
      <c r="B580" s="234" t="str">
        <f ca="1">IF(Table1[[#This Row],[Column3]]="","",B$1+COUNT(INDIRECT("B$2:B"&amp;ROW()-1)))</f>
        <v/>
      </c>
      <c r="C580" s="235" t="str">
        <f>IF(Table1[[#This Row],[Column2]]="","",Table1[[#This Row],[Column2]]+C$1-1)</f>
        <v/>
      </c>
      <c r="E580" s="236"/>
      <c r="F580" s="234"/>
      <c r="G580" s="234" t="str">
        <f ca="1">IF(Table1[[#This Row],[h_No. Invoice :]]="","",CONCATENATE("AM"," ",Table1[[#This Row],[h_No. Invoice :]]))</f>
        <v/>
      </c>
      <c r="H580" s="234" t="str">
        <f>IF(Table1[[#This Row],[Column5]]="","",INDEX(Table2[Column1],MATCH(Table1[[#This Row],[Column5]],Table2[a],0)))</f>
        <v/>
      </c>
      <c r="I580" s="234" t="str">
        <f>IF(Table1[[#This Row],[Column3]]=0,"",CONCATENATE(UPPER(Table1[[#This Row],[Column3]])," ",Table1[[#This Row],[Column4]]))</f>
        <v xml:space="preserve"> </v>
      </c>
      <c r="J580" s="234" t="str">
        <f>IF(Table1[[#This Row],[Column5]]="","",INDEX(Table2[e],IF(Table1[[#This Row],[Column5]]="","",MATCH(Table1[[#This Row],[Column5]],Table2[a],0)),))</f>
        <v/>
      </c>
      <c r="K580" s="234"/>
      <c r="L580" s="234"/>
      <c r="O580" s="234" t="str">
        <f>IF(Table1[[#This Row],[h_Item Description]]="","",INDEX([1]!db[NB PAJAK],MATCH(Table1[[#This Row],[h_Item Description]],[1]!db[kode],0)))</f>
        <v/>
      </c>
      <c r="Q580" s="237"/>
      <c r="R580" s="238"/>
      <c r="S580" s="238"/>
      <c r="T580" s="237" t="str">
        <f>Table1[[#This Row],[h_hargasetelahdiskon]]</f>
        <v/>
      </c>
      <c r="V580" s="234"/>
      <c r="W580" s="234" t="str">
        <f ca="1">IF(Table1[[#This Row],[Column12]]="","",IF(Table1[[#This Row],[//]]="",INDIRECT(ADDRESS(ROW()-1,COLUMN())),Table1[[#This Row],[//]]))</f>
        <v/>
      </c>
      <c r="X580" s="234" t="str">
        <f ca="1">IF(Table1[[#This Row],[h_id]]="","",COUNTIF(Table1[h_id],Table1[[#This Row],[h_id]]))</f>
        <v/>
      </c>
      <c r="Y580" s="237" t="str">
        <f>IF(Table1[[#This Row],[Column12]]="","",Table1[[#This Row],[Qty]]*Table1[[#This Row],[Column13]])</f>
        <v/>
      </c>
      <c r="Z580" s="237" t="str">
        <f>IF(Table1[[#This Row],[h_hargasebelumdiskon]]="","",IF(Table1[[#This Row],[Column14]]="",0,Table1[[#This Row],[h_hargasebelumdiskon]]*Table1[[#This Row],[Column14]]))</f>
        <v/>
      </c>
      <c r="AA580" s="237" t="str">
        <f>IF(Table1[[#This Row],[h_hargasebelumdiskon]]="","",IF(Table1[[#This Row],[Column15]]="",0,(Table1[[#This Row],[h_hargasebelumdiskon]]-Table1[[#This Row],[h_disc 1]])*Table1[[#This Row],[Column15]]))</f>
        <v/>
      </c>
      <c r="AB580" s="237" t="str">
        <f>IF(Table1[[#This Row],[Column12]]="","",Table1[[#This Row],[h_disc 1]]+Table1[[#This Row],[h_disc 2]])</f>
        <v/>
      </c>
      <c r="AC580" s="237" t="str">
        <f>IF(Table1[[#This Row],[Column12]]="","",Table1[[#This Row],[h_hargasebelumdiskon]]-Table1[[#This Row],[h_diskon]])</f>
        <v/>
      </c>
      <c r="AD580" s="237" t="str">
        <f ca="1">IF(Table1[[#This Row],[//]]="","",SUMIF(Table1[h_id],Table1[[#This Row],[h_id]],Table1[h_hargasetelahdiskon]))</f>
        <v/>
      </c>
      <c r="AF580" s="237" t="str">
        <f>Table1[[#This Row],[Column12]]&amp;Table1[[#This Row],[Unit]]&amp;Table1[[#This Row],[Column13]]</f>
        <v/>
      </c>
      <c r="AG580"/>
      <c r="AH580"/>
      <c r="AI580"/>
    </row>
    <row r="581" spans="1:35">
      <c r="A581" s="234" t="str">
        <f ca="1">IF(Table1[[#This Row],[No. Invoice :]]="","",ROW())</f>
        <v/>
      </c>
      <c r="B581" s="234" t="str">
        <f ca="1">IF(Table1[[#This Row],[Column3]]="","",B$1+COUNT(INDIRECT("B$2:B"&amp;ROW()-1)))</f>
        <v/>
      </c>
      <c r="C581" s="235" t="str">
        <f>IF(Table1[[#This Row],[Column2]]="","",Table1[[#This Row],[Column2]]+C$1-1)</f>
        <v/>
      </c>
      <c r="E581" s="236"/>
      <c r="F581" s="234"/>
      <c r="G581" s="234" t="str">
        <f ca="1">IF(Table1[[#This Row],[h_No. Invoice :]]="","",CONCATENATE("AM"," ",Table1[[#This Row],[h_No. Invoice :]]))</f>
        <v/>
      </c>
      <c r="H581" s="234" t="str">
        <f>IF(Table1[[#This Row],[Column5]]="","",INDEX(Table2[Column1],MATCH(Table1[[#This Row],[Column5]],Table2[a],0)))</f>
        <v/>
      </c>
      <c r="I581" s="234" t="str">
        <f>IF(Table1[[#This Row],[Column3]]=0,"",CONCATENATE(UPPER(Table1[[#This Row],[Column3]])," ",Table1[[#This Row],[Column4]]))</f>
        <v xml:space="preserve"> </v>
      </c>
      <c r="J581" s="234" t="str">
        <f>IF(Table1[[#This Row],[Column5]]="","",INDEX(Table2[e],IF(Table1[[#This Row],[Column5]]="","",MATCH(Table1[[#This Row],[Column5]],Table2[a],0)),))</f>
        <v/>
      </c>
      <c r="K581" s="234"/>
      <c r="L581" s="234"/>
      <c r="O581" s="234" t="str">
        <f>IF(Table1[[#This Row],[h_Item Description]]="","",INDEX([1]!db[NB PAJAK],MATCH(Table1[[#This Row],[h_Item Description]],[1]!db[kode],0)))</f>
        <v/>
      </c>
      <c r="Q581" s="237"/>
      <c r="R581" s="238"/>
      <c r="S581" s="238"/>
      <c r="T581" s="237" t="str">
        <f>Table1[[#This Row],[h_hargasetelahdiskon]]</f>
        <v/>
      </c>
      <c r="V581" s="234"/>
      <c r="W581" s="234" t="str">
        <f ca="1">IF(Table1[[#This Row],[Column12]]="","",IF(Table1[[#This Row],[//]]="",INDIRECT(ADDRESS(ROW()-1,COLUMN())),Table1[[#This Row],[//]]))</f>
        <v/>
      </c>
      <c r="X581" s="234" t="str">
        <f ca="1">IF(Table1[[#This Row],[h_id]]="","",COUNTIF(Table1[h_id],Table1[[#This Row],[h_id]]))</f>
        <v/>
      </c>
      <c r="Y581" s="237" t="str">
        <f>IF(Table1[[#This Row],[Column12]]="","",Table1[[#This Row],[Qty]]*Table1[[#This Row],[Column13]])</f>
        <v/>
      </c>
      <c r="Z581" s="237" t="str">
        <f>IF(Table1[[#This Row],[h_hargasebelumdiskon]]="","",IF(Table1[[#This Row],[Column14]]="",0,Table1[[#This Row],[h_hargasebelumdiskon]]*Table1[[#This Row],[Column14]]))</f>
        <v/>
      </c>
      <c r="AA581" s="237" t="str">
        <f>IF(Table1[[#This Row],[h_hargasebelumdiskon]]="","",IF(Table1[[#This Row],[Column15]]="",0,(Table1[[#This Row],[h_hargasebelumdiskon]]-Table1[[#This Row],[h_disc 1]])*Table1[[#This Row],[Column15]]))</f>
        <v/>
      </c>
      <c r="AB581" s="237" t="str">
        <f>IF(Table1[[#This Row],[Column12]]="","",Table1[[#This Row],[h_disc 1]]+Table1[[#This Row],[h_disc 2]])</f>
        <v/>
      </c>
      <c r="AC581" s="237" t="str">
        <f>IF(Table1[[#This Row],[Column12]]="","",Table1[[#This Row],[h_hargasebelumdiskon]]-Table1[[#This Row],[h_diskon]])</f>
        <v/>
      </c>
      <c r="AD581" s="237" t="str">
        <f ca="1">IF(Table1[[#This Row],[//]]="","",SUMIF(Table1[h_id],Table1[[#This Row],[h_id]],Table1[h_hargasetelahdiskon]))</f>
        <v/>
      </c>
      <c r="AF581" s="237" t="str">
        <f>Table1[[#This Row],[Column12]]&amp;Table1[[#This Row],[Unit]]&amp;Table1[[#This Row],[Column13]]</f>
        <v/>
      </c>
      <c r="AG581"/>
      <c r="AH581"/>
      <c r="AI581"/>
    </row>
    <row r="582" spans="1:35">
      <c r="A582" s="234" t="str">
        <f ca="1">IF(Table1[[#This Row],[No. Invoice :]]="","",ROW())</f>
        <v/>
      </c>
      <c r="B582" s="234" t="str">
        <f ca="1">IF(Table1[[#This Row],[Column3]]="","",B$1+COUNT(INDIRECT("B$2:B"&amp;ROW()-1)))</f>
        <v/>
      </c>
      <c r="C582" s="235" t="str">
        <f>IF(Table1[[#This Row],[Column2]]="","",Table1[[#This Row],[Column2]]+C$1-1)</f>
        <v/>
      </c>
      <c r="E582" s="236"/>
      <c r="F582" s="234"/>
      <c r="G582" s="234" t="str">
        <f ca="1">IF(Table1[[#This Row],[h_No. Invoice :]]="","",CONCATENATE("AM"," ",Table1[[#This Row],[h_No. Invoice :]]))</f>
        <v/>
      </c>
      <c r="H582" s="234" t="str">
        <f>IF(Table1[[#This Row],[Column5]]="","",INDEX(Table2[Column1],MATCH(Table1[[#This Row],[Column5]],Table2[a],0)))</f>
        <v/>
      </c>
      <c r="I582" s="234" t="str">
        <f>IF(Table1[[#This Row],[Column3]]=0,"",CONCATENATE(UPPER(Table1[[#This Row],[Column3]])," ",Table1[[#This Row],[Column4]]))</f>
        <v xml:space="preserve"> </v>
      </c>
      <c r="J582" s="234" t="str">
        <f>IF(Table1[[#This Row],[Column5]]="","",INDEX(Table2[e],IF(Table1[[#This Row],[Column5]]="","",MATCH(Table1[[#This Row],[Column5]],Table2[a],0)),))</f>
        <v/>
      </c>
      <c r="K582" s="234"/>
      <c r="L582" s="234"/>
      <c r="O582" s="234" t="str">
        <f>IF(Table1[[#This Row],[h_Item Description]]="","",INDEX([1]!db[NB PAJAK],MATCH(Table1[[#This Row],[h_Item Description]],[1]!db[kode],0)))</f>
        <v/>
      </c>
      <c r="Q582" s="237"/>
      <c r="R582" s="238"/>
      <c r="S582" s="238"/>
      <c r="T582" s="237" t="str">
        <f>Table1[[#This Row],[h_hargasetelahdiskon]]</f>
        <v/>
      </c>
      <c r="V582" s="234"/>
      <c r="W582" s="234" t="str">
        <f ca="1">IF(Table1[[#This Row],[Column12]]="","",IF(Table1[[#This Row],[//]]="",INDIRECT(ADDRESS(ROW()-1,COLUMN())),Table1[[#This Row],[//]]))</f>
        <v/>
      </c>
      <c r="X582" s="234" t="str">
        <f ca="1">IF(Table1[[#This Row],[h_id]]="","",COUNTIF(Table1[h_id],Table1[[#This Row],[h_id]]))</f>
        <v/>
      </c>
      <c r="Y582" s="237" t="str">
        <f>IF(Table1[[#This Row],[Column12]]="","",Table1[[#This Row],[Qty]]*Table1[[#This Row],[Column13]])</f>
        <v/>
      </c>
      <c r="Z582" s="237" t="str">
        <f>IF(Table1[[#This Row],[h_hargasebelumdiskon]]="","",IF(Table1[[#This Row],[Column14]]="",0,Table1[[#This Row],[h_hargasebelumdiskon]]*Table1[[#This Row],[Column14]]))</f>
        <v/>
      </c>
      <c r="AA582" s="237" t="str">
        <f>IF(Table1[[#This Row],[h_hargasebelumdiskon]]="","",IF(Table1[[#This Row],[Column15]]="",0,(Table1[[#This Row],[h_hargasebelumdiskon]]-Table1[[#This Row],[h_disc 1]])*Table1[[#This Row],[Column15]]))</f>
        <v/>
      </c>
      <c r="AB582" s="237" t="str">
        <f>IF(Table1[[#This Row],[Column12]]="","",Table1[[#This Row],[h_disc 1]]+Table1[[#This Row],[h_disc 2]])</f>
        <v/>
      </c>
      <c r="AC582" s="237" t="str">
        <f>IF(Table1[[#This Row],[Column12]]="","",Table1[[#This Row],[h_hargasebelumdiskon]]-Table1[[#This Row],[h_diskon]])</f>
        <v/>
      </c>
      <c r="AD582" s="237" t="str">
        <f ca="1">IF(Table1[[#This Row],[//]]="","",SUMIF(Table1[h_id],Table1[[#This Row],[h_id]],Table1[h_hargasetelahdiskon]))</f>
        <v/>
      </c>
      <c r="AF582" s="237" t="str">
        <f>Table1[[#This Row],[Column12]]&amp;Table1[[#This Row],[Unit]]&amp;Table1[[#This Row],[Column13]]</f>
        <v/>
      </c>
      <c r="AG582"/>
      <c r="AH582"/>
      <c r="AI582"/>
    </row>
    <row r="583" spans="1:35">
      <c r="A583" s="234" t="str">
        <f ca="1">IF(Table1[[#This Row],[No. Invoice :]]="","",ROW())</f>
        <v/>
      </c>
      <c r="B583" s="234" t="str">
        <f ca="1">IF(Table1[[#This Row],[Column3]]="","",B$1+COUNT(INDIRECT("B$2:B"&amp;ROW()-1)))</f>
        <v/>
      </c>
      <c r="C583" s="235" t="str">
        <f>IF(Table1[[#This Row],[Column2]]="","",Table1[[#This Row],[Column2]]+C$1-1)</f>
        <v/>
      </c>
      <c r="E583" s="236"/>
      <c r="F583" s="234"/>
      <c r="G583" s="234" t="str">
        <f ca="1">IF(Table1[[#This Row],[h_No. Invoice :]]="","",CONCATENATE("AM"," ",Table1[[#This Row],[h_No. Invoice :]]))</f>
        <v/>
      </c>
      <c r="H583" s="234" t="str">
        <f>IF(Table1[[#This Row],[Column5]]="","",INDEX(Table2[Column1],MATCH(Table1[[#This Row],[Column5]],Table2[a],0)))</f>
        <v/>
      </c>
      <c r="I583" s="234" t="str">
        <f>IF(Table1[[#This Row],[Column3]]=0,"",CONCATENATE(UPPER(Table1[[#This Row],[Column3]])," ",Table1[[#This Row],[Column4]]))</f>
        <v xml:space="preserve"> </v>
      </c>
      <c r="J583" s="234" t="str">
        <f>IF(Table1[[#This Row],[Column5]]="","",INDEX(Table2[e],IF(Table1[[#This Row],[Column5]]="","",MATCH(Table1[[#This Row],[Column5]],Table2[a],0)),))</f>
        <v/>
      </c>
      <c r="K583" s="234"/>
      <c r="L583" s="234"/>
      <c r="O583" s="234" t="str">
        <f>IF(Table1[[#This Row],[h_Item Description]]="","",INDEX([1]!db[NB PAJAK],MATCH(Table1[[#This Row],[h_Item Description]],[1]!db[kode],0)))</f>
        <v/>
      </c>
      <c r="Q583" s="237"/>
      <c r="R583" s="238"/>
      <c r="S583" s="238"/>
      <c r="T583" s="237" t="str">
        <f>Table1[[#This Row],[h_hargasetelahdiskon]]</f>
        <v/>
      </c>
      <c r="V583" s="234"/>
      <c r="W583" s="234" t="str">
        <f ca="1">IF(Table1[[#This Row],[Column12]]="","",IF(Table1[[#This Row],[//]]="",INDIRECT(ADDRESS(ROW()-1,COLUMN())),Table1[[#This Row],[//]]))</f>
        <v/>
      </c>
      <c r="X583" s="234" t="str">
        <f ca="1">IF(Table1[[#This Row],[h_id]]="","",COUNTIF(Table1[h_id],Table1[[#This Row],[h_id]]))</f>
        <v/>
      </c>
      <c r="Y583" s="237" t="str">
        <f>IF(Table1[[#This Row],[Column12]]="","",Table1[[#This Row],[Qty]]*Table1[[#This Row],[Column13]])</f>
        <v/>
      </c>
      <c r="Z583" s="237" t="str">
        <f>IF(Table1[[#This Row],[h_hargasebelumdiskon]]="","",IF(Table1[[#This Row],[Column14]]="",0,Table1[[#This Row],[h_hargasebelumdiskon]]*Table1[[#This Row],[Column14]]))</f>
        <v/>
      </c>
      <c r="AA583" s="237" t="str">
        <f>IF(Table1[[#This Row],[h_hargasebelumdiskon]]="","",IF(Table1[[#This Row],[Column15]]="",0,(Table1[[#This Row],[h_hargasebelumdiskon]]-Table1[[#This Row],[h_disc 1]])*Table1[[#This Row],[Column15]]))</f>
        <v/>
      </c>
      <c r="AB583" s="237" t="str">
        <f>IF(Table1[[#This Row],[Column12]]="","",Table1[[#This Row],[h_disc 1]]+Table1[[#This Row],[h_disc 2]])</f>
        <v/>
      </c>
      <c r="AC583" s="237" t="str">
        <f>IF(Table1[[#This Row],[Column12]]="","",Table1[[#This Row],[h_hargasebelumdiskon]]-Table1[[#This Row],[h_diskon]])</f>
        <v/>
      </c>
      <c r="AD583" s="237" t="str">
        <f ca="1">IF(Table1[[#This Row],[//]]="","",SUMIF(Table1[h_id],Table1[[#This Row],[h_id]],Table1[h_hargasetelahdiskon]))</f>
        <v/>
      </c>
      <c r="AF583" s="237" t="str">
        <f>Table1[[#This Row],[Column12]]&amp;Table1[[#This Row],[Unit]]&amp;Table1[[#This Row],[Column13]]</f>
        <v/>
      </c>
      <c r="AG583"/>
      <c r="AH583"/>
      <c r="AI583"/>
    </row>
    <row r="584" spans="1:35">
      <c r="A584" s="234" t="str">
        <f ca="1">IF(Table1[[#This Row],[No. Invoice :]]="","",ROW())</f>
        <v/>
      </c>
      <c r="B584" s="234" t="str">
        <f ca="1">IF(Table1[[#This Row],[Column3]]="","",B$1+COUNT(INDIRECT("B$2:B"&amp;ROW()-1)))</f>
        <v/>
      </c>
      <c r="C584" s="235" t="str">
        <f>IF(Table1[[#This Row],[Column2]]="","",Table1[[#This Row],[Column2]]+C$1-1)</f>
        <v/>
      </c>
      <c r="E584" s="236"/>
      <c r="F584" s="234"/>
      <c r="G584" s="234" t="str">
        <f ca="1">IF(Table1[[#This Row],[h_No. Invoice :]]="","",CONCATENATE("AM"," ",Table1[[#This Row],[h_No. Invoice :]]))</f>
        <v/>
      </c>
      <c r="H584" s="234" t="str">
        <f>IF(Table1[[#This Row],[Column5]]="","",INDEX(Table2[Column1],MATCH(Table1[[#This Row],[Column5]],Table2[a],0)))</f>
        <v/>
      </c>
      <c r="I584" s="234" t="str">
        <f>IF(Table1[[#This Row],[Column3]]=0,"",CONCATENATE(UPPER(Table1[[#This Row],[Column3]])," ",Table1[[#This Row],[Column4]]))</f>
        <v xml:space="preserve"> </v>
      </c>
      <c r="J584" s="234" t="str">
        <f>IF(Table1[[#This Row],[Column5]]="","",INDEX(Table2[e],IF(Table1[[#This Row],[Column5]]="","",MATCH(Table1[[#This Row],[Column5]],Table2[a],0)),))</f>
        <v/>
      </c>
      <c r="K584" s="234"/>
      <c r="L584" s="234"/>
      <c r="O584" s="234" t="str">
        <f>IF(Table1[[#This Row],[h_Item Description]]="","",INDEX([1]!db[NB PAJAK],MATCH(Table1[[#This Row],[h_Item Description]],[1]!db[kode],0)))</f>
        <v/>
      </c>
      <c r="Q584" s="237"/>
      <c r="R584" s="238"/>
      <c r="S584" s="238"/>
      <c r="T584" s="237" t="str">
        <f>Table1[[#This Row],[h_hargasetelahdiskon]]</f>
        <v/>
      </c>
      <c r="V584" s="234"/>
      <c r="W584" s="234" t="str">
        <f ca="1">IF(Table1[[#This Row],[Column12]]="","",IF(Table1[[#This Row],[//]]="",INDIRECT(ADDRESS(ROW()-1,COLUMN())),Table1[[#This Row],[//]]))</f>
        <v/>
      </c>
      <c r="X584" s="234" t="str">
        <f ca="1">IF(Table1[[#This Row],[h_id]]="","",COUNTIF(Table1[h_id],Table1[[#This Row],[h_id]]))</f>
        <v/>
      </c>
      <c r="Y584" s="237" t="str">
        <f>IF(Table1[[#This Row],[Column12]]="","",Table1[[#This Row],[Qty]]*Table1[[#This Row],[Column13]])</f>
        <v/>
      </c>
      <c r="Z584" s="237" t="str">
        <f>IF(Table1[[#This Row],[h_hargasebelumdiskon]]="","",IF(Table1[[#This Row],[Column14]]="",0,Table1[[#This Row],[h_hargasebelumdiskon]]*Table1[[#This Row],[Column14]]))</f>
        <v/>
      </c>
      <c r="AA584" s="237" t="str">
        <f>IF(Table1[[#This Row],[h_hargasebelumdiskon]]="","",IF(Table1[[#This Row],[Column15]]="",0,(Table1[[#This Row],[h_hargasebelumdiskon]]-Table1[[#This Row],[h_disc 1]])*Table1[[#This Row],[Column15]]))</f>
        <v/>
      </c>
      <c r="AB584" s="237" t="str">
        <f>IF(Table1[[#This Row],[Column12]]="","",Table1[[#This Row],[h_disc 1]]+Table1[[#This Row],[h_disc 2]])</f>
        <v/>
      </c>
      <c r="AC584" s="237" t="str">
        <f>IF(Table1[[#This Row],[Column12]]="","",Table1[[#This Row],[h_hargasebelumdiskon]]-Table1[[#This Row],[h_diskon]])</f>
        <v/>
      </c>
      <c r="AD584" s="237" t="str">
        <f ca="1">IF(Table1[[#This Row],[//]]="","",SUMIF(Table1[h_id],Table1[[#This Row],[h_id]],Table1[h_hargasetelahdiskon]))</f>
        <v/>
      </c>
      <c r="AF584" s="237" t="str">
        <f>Table1[[#This Row],[Column12]]&amp;Table1[[#This Row],[Unit]]&amp;Table1[[#This Row],[Column13]]</f>
        <v/>
      </c>
      <c r="AG584"/>
      <c r="AH584"/>
      <c r="AI584"/>
    </row>
    <row r="585" spans="1:35">
      <c r="A585" s="234" t="str">
        <f ca="1">IF(Table1[[#This Row],[No. Invoice :]]="","",ROW())</f>
        <v/>
      </c>
      <c r="B585" s="234" t="str">
        <f ca="1">IF(Table1[[#This Row],[Column3]]="","",B$1+COUNT(INDIRECT("B$2:B"&amp;ROW()-1)))</f>
        <v/>
      </c>
      <c r="C585" s="235" t="str">
        <f>IF(Table1[[#This Row],[Column2]]="","",Table1[[#This Row],[Column2]]+C$1-1)</f>
        <v/>
      </c>
      <c r="E585" s="236"/>
      <c r="F585" s="234"/>
      <c r="G585" s="234" t="str">
        <f ca="1">IF(Table1[[#This Row],[h_No. Invoice :]]="","",CONCATENATE("AM"," ",Table1[[#This Row],[h_No. Invoice :]]))</f>
        <v/>
      </c>
      <c r="H585" s="234" t="str">
        <f>IF(Table1[[#This Row],[Column5]]="","",INDEX(Table2[Column1],MATCH(Table1[[#This Row],[Column5]],Table2[a],0)))</f>
        <v/>
      </c>
      <c r="I585" s="234" t="str">
        <f>IF(Table1[[#This Row],[Column3]]=0,"",CONCATENATE(UPPER(Table1[[#This Row],[Column3]])," ",Table1[[#This Row],[Column4]]))</f>
        <v xml:space="preserve"> </v>
      </c>
      <c r="J585" s="234" t="str">
        <f>IF(Table1[[#This Row],[Column5]]="","",INDEX(Table2[e],IF(Table1[[#This Row],[Column5]]="","",MATCH(Table1[[#This Row],[Column5]],Table2[a],0)),))</f>
        <v/>
      </c>
      <c r="K585" s="234"/>
      <c r="L585" s="234"/>
      <c r="O585" s="234" t="str">
        <f>IF(Table1[[#This Row],[h_Item Description]]="","",INDEX([1]!db[NB PAJAK],MATCH(Table1[[#This Row],[h_Item Description]],[1]!db[kode],0)))</f>
        <v/>
      </c>
      <c r="Q585" s="237"/>
      <c r="R585" s="238"/>
      <c r="S585" s="238"/>
      <c r="T585" s="237" t="str">
        <f>Table1[[#This Row],[h_hargasetelahdiskon]]</f>
        <v/>
      </c>
      <c r="V585" s="234"/>
      <c r="W585" s="234" t="str">
        <f ca="1">IF(Table1[[#This Row],[Column12]]="","",IF(Table1[[#This Row],[//]]="",INDIRECT(ADDRESS(ROW()-1,COLUMN())),Table1[[#This Row],[//]]))</f>
        <v/>
      </c>
      <c r="X585" s="234" t="str">
        <f ca="1">IF(Table1[[#This Row],[h_id]]="","",COUNTIF(Table1[h_id],Table1[[#This Row],[h_id]]))</f>
        <v/>
      </c>
      <c r="Y585" s="237" t="str">
        <f>IF(Table1[[#This Row],[Column12]]="","",Table1[[#This Row],[Qty]]*Table1[[#This Row],[Column13]])</f>
        <v/>
      </c>
      <c r="Z585" s="237" t="str">
        <f>IF(Table1[[#This Row],[h_hargasebelumdiskon]]="","",IF(Table1[[#This Row],[Column14]]="",0,Table1[[#This Row],[h_hargasebelumdiskon]]*Table1[[#This Row],[Column14]]))</f>
        <v/>
      </c>
      <c r="AA585" s="237" t="str">
        <f>IF(Table1[[#This Row],[h_hargasebelumdiskon]]="","",IF(Table1[[#This Row],[Column15]]="",0,(Table1[[#This Row],[h_hargasebelumdiskon]]-Table1[[#This Row],[h_disc 1]])*Table1[[#This Row],[Column15]]))</f>
        <v/>
      </c>
      <c r="AB585" s="237" t="str">
        <f>IF(Table1[[#This Row],[Column12]]="","",Table1[[#This Row],[h_disc 1]]+Table1[[#This Row],[h_disc 2]])</f>
        <v/>
      </c>
      <c r="AC585" s="237" t="str">
        <f>IF(Table1[[#This Row],[Column12]]="","",Table1[[#This Row],[h_hargasebelumdiskon]]-Table1[[#This Row],[h_diskon]])</f>
        <v/>
      </c>
      <c r="AD585" s="237" t="str">
        <f ca="1">IF(Table1[[#This Row],[//]]="","",SUMIF(Table1[h_id],Table1[[#This Row],[h_id]],Table1[h_hargasetelahdiskon]))</f>
        <v/>
      </c>
      <c r="AF585" s="237" t="str">
        <f>Table1[[#This Row],[Column12]]&amp;Table1[[#This Row],[Unit]]&amp;Table1[[#This Row],[Column13]]</f>
        <v/>
      </c>
      <c r="AG585"/>
      <c r="AH585"/>
      <c r="AI585"/>
    </row>
    <row r="586" spans="1:35">
      <c r="A586" s="234" t="str">
        <f ca="1">IF(Table1[[#This Row],[No. Invoice :]]="","",ROW())</f>
        <v/>
      </c>
      <c r="B586" s="234" t="str">
        <f ca="1">IF(Table1[[#This Row],[Column3]]="","",B$1+COUNT(INDIRECT("B$2:B"&amp;ROW()-1)))</f>
        <v/>
      </c>
      <c r="C586" s="235" t="str">
        <f>IF(Table1[[#This Row],[Column2]]="","",Table1[[#This Row],[Column2]]+C$1-1)</f>
        <v/>
      </c>
      <c r="E586" s="236"/>
      <c r="F586" s="234"/>
      <c r="G586" s="234" t="str">
        <f ca="1">IF(Table1[[#This Row],[h_No. Invoice :]]="","",CONCATENATE("AM"," ",Table1[[#This Row],[h_No. Invoice :]]))</f>
        <v/>
      </c>
      <c r="H586" s="234" t="str">
        <f>IF(Table1[[#This Row],[Column5]]="","",INDEX(Table2[Column1],MATCH(Table1[[#This Row],[Column5]],Table2[a],0)))</f>
        <v/>
      </c>
      <c r="I586" s="234" t="str">
        <f>IF(Table1[[#This Row],[Column3]]=0,"",CONCATENATE(UPPER(Table1[[#This Row],[Column3]])," ",Table1[[#This Row],[Column4]]))</f>
        <v xml:space="preserve"> </v>
      </c>
      <c r="J586" s="234" t="str">
        <f>IF(Table1[[#This Row],[Column5]]="","",INDEX(Table2[e],IF(Table1[[#This Row],[Column5]]="","",MATCH(Table1[[#This Row],[Column5]],Table2[a],0)),))</f>
        <v/>
      </c>
      <c r="K586" s="234"/>
      <c r="L586" s="234"/>
      <c r="O586" s="234" t="str">
        <f>IF(Table1[[#This Row],[h_Item Description]]="","",INDEX([1]!db[NB PAJAK],MATCH(Table1[[#This Row],[h_Item Description]],[1]!db[kode],0)))</f>
        <v/>
      </c>
      <c r="Q586" s="237"/>
      <c r="R586" s="238"/>
      <c r="S586" s="238"/>
      <c r="T586" s="237" t="str">
        <f>Table1[[#This Row],[h_hargasetelahdiskon]]</f>
        <v/>
      </c>
      <c r="V586" s="234"/>
      <c r="W586" s="234" t="str">
        <f ca="1">IF(Table1[[#This Row],[Column12]]="","",IF(Table1[[#This Row],[//]]="",INDIRECT(ADDRESS(ROW()-1,COLUMN())),Table1[[#This Row],[//]]))</f>
        <v/>
      </c>
      <c r="X586" s="234" t="str">
        <f ca="1">IF(Table1[[#This Row],[h_id]]="","",COUNTIF(Table1[h_id],Table1[[#This Row],[h_id]]))</f>
        <v/>
      </c>
      <c r="Y586" s="237" t="str">
        <f>IF(Table1[[#This Row],[Column12]]="","",Table1[[#This Row],[Qty]]*Table1[[#This Row],[Column13]])</f>
        <v/>
      </c>
      <c r="Z586" s="237" t="str">
        <f>IF(Table1[[#This Row],[h_hargasebelumdiskon]]="","",IF(Table1[[#This Row],[Column14]]="",0,Table1[[#This Row],[h_hargasebelumdiskon]]*Table1[[#This Row],[Column14]]))</f>
        <v/>
      </c>
      <c r="AA586" s="237" t="str">
        <f>IF(Table1[[#This Row],[h_hargasebelumdiskon]]="","",IF(Table1[[#This Row],[Column15]]="",0,(Table1[[#This Row],[h_hargasebelumdiskon]]-Table1[[#This Row],[h_disc 1]])*Table1[[#This Row],[Column15]]))</f>
        <v/>
      </c>
      <c r="AB586" s="237" t="str">
        <f>IF(Table1[[#This Row],[Column12]]="","",Table1[[#This Row],[h_disc 1]]+Table1[[#This Row],[h_disc 2]])</f>
        <v/>
      </c>
      <c r="AC586" s="237" t="str">
        <f>IF(Table1[[#This Row],[Column12]]="","",Table1[[#This Row],[h_hargasebelumdiskon]]-Table1[[#This Row],[h_diskon]])</f>
        <v/>
      </c>
      <c r="AD586" s="237" t="str">
        <f ca="1">IF(Table1[[#This Row],[//]]="","",SUMIF(Table1[h_id],Table1[[#This Row],[h_id]],Table1[h_hargasetelahdiskon]))</f>
        <v/>
      </c>
      <c r="AF586" s="237" t="str">
        <f>Table1[[#This Row],[Column12]]&amp;Table1[[#This Row],[Unit]]&amp;Table1[[#This Row],[Column13]]</f>
        <v/>
      </c>
      <c r="AG586"/>
      <c r="AH586"/>
      <c r="AI586"/>
    </row>
    <row r="587" spans="1:35">
      <c r="A587" s="234" t="str">
        <f ca="1">IF(Table1[[#This Row],[No. Invoice :]]="","",ROW())</f>
        <v/>
      </c>
      <c r="B587" s="234" t="str">
        <f ca="1">IF(Table1[[#This Row],[Column3]]="","",B$1+COUNT(INDIRECT("B$2:B"&amp;ROW()-1)))</f>
        <v/>
      </c>
      <c r="C587" s="235" t="str">
        <f>IF(Table1[[#This Row],[Column2]]="","",Table1[[#This Row],[Column2]]+C$1-1)</f>
        <v/>
      </c>
      <c r="E587" s="236"/>
      <c r="F587" s="234"/>
      <c r="G587" s="234" t="str">
        <f ca="1">IF(Table1[[#This Row],[h_No. Invoice :]]="","",CONCATENATE("AM"," ",Table1[[#This Row],[h_No. Invoice :]]))</f>
        <v/>
      </c>
      <c r="H587" s="234" t="str">
        <f>IF(Table1[[#This Row],[Column5]]="","",INDEX(Table2[Column1],MATCH(Table1[[#This Row],[Column5]],Table2[a],0)))</f>
        <v/>
      </c>
      <c r="I587" s="234" t="str">
        <f>IF(Table1[[#This Row],[Column3]]=0,"",CONCATENATE(UPPER(Table1[[#This Row],[Column3]])," ",Table1[[#This Row],[Column4]]))</f>
        <v xml:space="preserve"> </v>
      </c>
      <c r="J587" s="234" t="str">
        <f>IF(Table1[[#This Row],[Column5]]="","",INDEX(Table2[e],IF(Table1[[#This Row],[Column5]]="","",MATCH(Table1[[#This Row],[Column5]],Table2[a],0)),))</f>
        <v/>
      </c>
      <c r="K587" s="234"/>
      <c r="L587" s="234"/>
      <c r="O587" s="234" t="str">
        <f>IF(Table1[[#This Row],[h_Item Description]]="","",INDEX([1]!db[NB PAJAK],MATCH(Table1[[#This Row],[h_Item Description]],[1]!db[kode],0)))</f>
        <v/>
      </c>
      <c r="Q587" s="237"/>
      <c r="R587" s="238"/>
      <c r="S587" s="238"/>
      <c r="T587" s="237" t="str">
        <f>Table1[[#This Row],[h_hargasetelahdiskon]]</f>
        <v/>
      </c>
      <c r="V587" s="234"/>
      <c r="W587" s="234" t="str">
        <f ca="1">IF(Table1[[#This Row],[Column12]]="","",IF(Table1[[#This Row],[//]]="",INDIRECT(ADDRESS(ROW()-1,COLUMN())),Table1[[#This Row],[//]]))</f>
        <v/>
      </c>
      <c r="X587" s="234" t="str">
        <f ca="1">IF(Table1[[#This Row],[h_id]]="","",COUNTIF(Table1[h_id],Table1[[#This Row],[h_id]]))</f>
        <v/>
      </c>
      <c r="Y587" s="237" t="str">
        <f>IF(Table1[[#This Row],[Column12]]="","",Table1[[#This Row],[Qty]]*Table1[[#This Row],[Column13]])</f>
        <v/>
      </c>
      <c r="Z587" s="237" t="str">
        <f>IF(Table1[[#This Row],[h_hargasebelumdiskon]]="","",IF(Table1[[#This Row],[Column14]]="",0,Table1[[#This Row],[h_hargasebelumdiskon]]*Table1[[#This Row],[Column14]]))</f>
        <v/>
      </c>
      <c r="AA587" s="237" t="str">
        <f>IF(Table1[[#This Row],[h_hargasebelumdiskon]]="","",IF(Table1[[#This Row],[Column15]]="",0,(Table1[[#This Row],[h_hargasebelumdiskon]]-Table1[[#This Row],[h_disc 1]])*Table1[[#This Row],[Column15]]))</f>
        <v/>
      </c>
      <c r="AB587" s="237" t="str">
        <f>IF(Table1[[#This Row],[Column12]]="","",Table1[[#This Row],[h_disc 1]]+Table1[[#This Row],[h_disc 2]])</f>
        <v/>
      </c>
      <c r="AC587" s="237" t="str">
        <f>IF(Table1[[#This Row],[Column12]]="","",Table1[[#This Row],[h_hargasebelumdiskon]]-Table1[[#This Row],[h_diskon]])</f>
        <v/>
      </c>
      <c r="AD587" s="237" t="str">
        <f ca="1">IF(Table1[[#This Row],[//]]="","",SUMIF(Table1[h_id],Table1[[#This Row],[h_id]],Table1[h_hargasetelahdiskon]))</f>
        <v/>
      </c>
      <c r="AF587" s="237" t="str">
        <f>Table1[[#This Row],[Column12]]&amp;Table1[[#This Row],[Unit]]&amp;Table1[[#This Row],[Column13]]</f>
        <v/>
      </c>
      <c r="AG587"/>
      <c r="AH587"/>
      <c r="AI587"/>
    </row>
    <row r="588" spans="1:35">
      <c r="E588" s="236"/>
      <c r="F588" s="234"/>
      <c r="G588" s="234"/>
      <c r="I588" s="234"/>
      <c r="K588" s="234"/>
      <c r="L588" s="234"/>
      <c r="Q588" s="237"/>
      <c r="R588" s="238"/>
      <c r="S588" s="238"/>
      <c r="T588" s="237"/>
      <c r="V588" s="234"/>
      <c r="W588" s="234"/>
      <c r="X588" s="234"/>
      <c r="Y588" s="237"/>
      <c r="Z588" s="237"/>
      <c r="AA588" s="237"/>
      <c r="AB588" s="237"/>
      <c r="AC588" s="237"/>
      <c r="AD588" s="237"/>
      <c r="AG588"/>
      <c r="AH588"/>
      <c r="AI588"/>
    </row>
  </sheetData>
  <conditionalFormatting sqref="D151">
    <cfRule type="duplicateValues" dxfId="67" priority="17"/>
  </conditionalFormatting>
  <conditionalFormatting sqref="D152 D149:D150 D154 D156 D158">
    <cfRule type="duplicateValues" dxfId="66" priority="66"/>
  </conditionalFormatting>
  <conditionalFormatting sqref="D153">
    <cfRule type="duplicateValues" dxfId="65" priority="14"/>
  </conditionalFormatting>
  <conditionalFormatting sqref="D155">
    <cfRule type="duplicateValues" dxfId="64" priority="11"/>
  </conditionalFormatting>
  <conditionalFormatting sqref="D157">
    <cfRule type="duplicateValues" dxfId="63" priority="8"/>
  </conditionalFormatting>
  <conditionalFormatting sqref="E151">
    <cfRule type="duplicateValues" dxfId="62" priority="19"/>
  </conditionalFormatting>
  <conditionalFormatting sqref="E152 E154 E156 E158:E587 E4:E150">
    <cfRule type="duplicateValues" dxfId="61" priority="76"/>
  </conditionalFormatting>
  <conditionalFormatting sqref="E153">
    <cfRule type="duplicateValues" dxfId="60" priority="16"/>
  </conditionalFormatting>
  <conditionalFormatting sqref="E155">
    <cfRule type="duplicateValues" dxfId="59" priority="13"/>
  </conditionalFormatting>
  <conditionalFormatting sqref="E157">
    <cfRule type="duplicateValues" dxfId="58" priority="10"/>
  </conditionalFormatting>
  <conditionalFormatting sqref="F151">
    <cfRule type="duplicateValues" dxfId="57" priority="18"/>
  </conditionalFormatting>
  <conditionalFormatting sqref="F152 F149:F150 F154 F156 F158">
    <cfRule type="duplicateValues" dxfId="56" priority="71"/>
  </conditionalFormatting>
  <conditionalFormatting sqref="F153">
    <cfRule type="duplicateValues" dxfId="55" priority="15"/>
  </conditionalFormatting>
  <conditionalFormatting sqref="F155">
    <cfRule type="duplicateValues" dxfId="54" priority="12"/>
  </conditionalFormatting>
  <conditionalFormatting sqref="F157">
    <cfRule type="duplicateValues" dxfId="53" priority="9"/>
  </conditionalFormatting>
  <conditionalFormatting sqref="N17">
    <cfRule type="duplicateValues" dxfId="52" priority="6"/>
    <cfRule type="duplicateValues" dxfId="51" priority="7"/>
  </conditionalFormatting>
  <conditionalFormatting sqref="N18">
    <cfRule type="duplicateValues" dxfId="50" priority="4"/>
    <cfRule type="duplicateValues" dxfId="49" priority="5"/>
  </conditionalFormatting>
  <conditionalFormatting sqref="N154">
    <cfRule type="duplicateValues" dxfId="48" priority="1"/>
    <cfRule type="duplicateValues" dxfId="47" priority="2"/>
  </conditionalFormatting>
  <conditionalFormatting sqref="N283">
    <cfRule type="duplicateValues" dxfId="46" priority="24"/>
  </conditionalFormatting>
  <conditionalFormatting sqref="N349:N350">
    <cfRule type="duplicateValues" dxfId="45" priority="22"/>
    <cfRule type="duplicateValues" dxfId="44" priority="23"/>
  </conditionalFormatting>
  <conditionalFormatting sqref="P62">
    <cfRule type="duplicateValues" dxfId="43" priority="3"/>
  </conditionalFormatting>
  <conditionalFormatting sqref="P248">
    <cfRule type="duplicateValues" dxfId="42" priority="28"/>
  </conditionalFormatting>
  <conditionalFormatting sqref="P318">
    <cfRule type="duplicateValues" dxfId="41" priority="25"/>
    <cfRule type="duplicateValues" dxfId="40" priority="26"/>
  </conditionalFormatting>
  <conditionalFormatting sqref="P322">
    <cfRule type="duplicateValues" dxfId="39" priority="29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64"/>
  <sheetViews>
    <sheetView topLeftCell="A13" zoomScale="85" zoomScaleNormal="85" workbookViewId="0">
      <selection activeCell="O27" sqref="O27:X27"/>
    </sheetView>
  </sheetViews>
  <sheetFormatPr defaultRowHeight="15"/>
  <cols>
    <col min="1" max="1" width="13.28515625" customWidth="1"/>
    <col min="2" max="2" width="13.140625" customWidth="1"/>
    <col min="3" max="3" width="6" customWidth="1"/>
    <col min="4" max="4" width="5.28515625" customWidth="1"/>
    <col min="5" max="5" width="12.42578125" customWidth="1"/>
    <col min="6" max="6" width="10.7109375" style="249" customWidth="1"/>
    <col min="7" max="7" width="13.28515625" customWidth="1"/>
    <col min="8" max="8" width="54.7109375" customWidth="1"/>
    <col min="9" max="9" width="15.28515625" style="250" customWidth="1"/>
    <col min="10" max="10" width="14.28515625" style="250" customWidth="1"/>
    <col min="11" max="11" width="15.28515625" style="250" customWidth="1"/>
    <col min="12" max="12" width="14.28515625" style="250" customWidth="1"/>
    <col min="13" max="13" width="15.28515625" style="250" customWidth="1"/>
    <col min="14" max="14" width="16.42578125" customWidth="1"/>
    <col min="15" max="15" width="8.85546875" customWidth="1"/>
    <col min="16" max="16" width="6" customWidth="1"/>
    <col min="17" max="17" width="4.42578125" customWidth="1"/>
    <col min="18" max="18" width="7.28515625" customWidth="1"/>
    <col min="19" max="19" width="9" customWidth="1"/>
    <col min="20" max="20" width="22.5703125" style="251" customWidth="1"/>
    <col min="21" max="21" width="15.85546875" style="251" customWidth="1"/>
    <col min="22" max="22" width="10.28515625" style="251" customWidth="1"/>
    <col min="23" max="23" width="20.28515625" style="251" customWidth="1"/>
    <col min="24" max="24" width="10.5703125" style="251" customWidth="1"/>
    <col min="26" max="26" width="14.5703125" customWidth="1"/>
    <col min="27" max="27" width="15.28515625" bestFit="1" customWidth="1"/>
  </cols>
  <sheetData>
    <row r="1" spans="1:27">
      <c r="R1" t="s">
        <v>114</v>
      </c>
      <c r="T1" s="251" t="s">
        <v>115</v>
      </c>
      <c r="U1" s="251" t="s">
        <v>114</v>
      </c>
      <c r="V1" s="251" t="s">
        <v>114</v>
      </c>
      <c r="W1" s="251" t="s">
        <v>116</v>
      </c>
      <c r="X1" s="251" t="s">
        <v>117</v>
      </c>
    </row>
    <row r="2" spans="1:27">
      <c r="H2" t="s">
        <v>229</v>
      </c>
      <c r="I2" s="250" t="s">
        <v>131</v>
      </c>
      <c r="U2" s="251">
        <v>4</v>
      </c>
      <c r="V2" s="251">
        <v>2</v>
      </c>
      <c r="W2" s="251">
        <v>32</v>
      </c>
      <c r="X2" s="251">
        <v>34</v>
      </c>
    </row>
    <row r="3" spans="1:27">
      <c r="E3">
        <f ca="1">COUNT(Table1[//])</f>
        <v>38</v>
      </c>
      <c r="H3" s="252" t="str">
        <f>"["&amp;H2&amp;".xlsx]Invoice"</f>
        <v>[05-Hitung FP Keluar Mei 2024.xlsx]Invoice</v>
      </c>
      <c r="I3" s="253"/>
      <c r="O3">
        <f>'PREVIEW BORDERLESS'!K1</f>
        <v>0</v>
      </c>
      <c r="R3" t="str">
        <f>"'"&amp;pointer&amp;"'"&amp;"!$"&amp;1:1&amp;":$"&amp;1:1</f>
        <v>'[05-Hitung FP Keluar Mei 2024.xlsx]Invoice'!$D:$D</v>
      </c>
      <c r="S3">
        <f>NOTA!B1</f>
        <v>24050001</v>
      </c>
      <c r="T3" t="str">
        <f>"'"&amp;pointer&amp;"'"&amp;"!$"&amp;1:1&amp;":$"&amp;1:1</f>
        <v>'[05-Hitung FP Keluar Mei 2024.xlsx]Invoice'!$E:$E</v>
      </c>
      <c r="U3" t="str">
        <f>"'"&amp;pointer&amp;"'"&amp;"!$"&amp;1:1&amp;":$"&amp;1:1</f>
        <v>'[05-Hitung FP Keluar Mei 2024.xlsx]Invoice'!$D:$D</v>
      </c>
      <c r="V3" t="str">
        <f>"'"&amp;pointer&amp;"'"&amp;"!$"&amp;1:1&amp;":$"&amp;1:1</f>
        <v>'[05-Hitung FP Keluar Mei 2024.xlsx]Invoice'!$D:$D</v>
      </c>
      <c r="W3" t="str">
        <f>"'"&amp;pointer&amp;"'"&amp;"!$"&amp;1:1&amp;":$"&amp;1:1</f>
        <v>'[05-Hitung FP Keluar Mei 2024.xlsx]Invoice'!$K:$K</v>
      </c>
      <c r="X3" t="str">
        <f>"'"&amp;pointer&amp;"'"&amp;"!$"&amp;1:1&amp;":$"&amp;1:1</f>
        <v>'[05-Hitung FP Keluar Mei 2024.xlsx]Invoice'!$J:$J</v>
      </c>
    </row>
    <row r="4" spans="1:27" s="254" customFormat="1">
      <c r="A4" s="576" t="s">
        <v>51</v>
      </c>
      <c r="B4"/>
      <c r="C4"/>
      <c r="D4" s="254" t="s">
        <v>14</v>
      </c>
      <c r="E4" s="254" t="s">
        <v>1</v>
      </c>
      <c r="F4" s="255" t="s">
        <v>2</v>
      </c>
      <c r="G4" s="254" t="s">
        <v>3</v>
      </c>
      <c r="H4" s="254" t="s">
        <v>4</v>
      </c>
      <c r="I4" s="256" t="s">
        <v>48</v>
      </c>
      <c r="J4" s="256" t="s">
        <v>53</v>
      </c>
      <c r="K4" s="256" t="s">
        <v>47</v>
      </c>
      <c r="L4" s="256" t="s">
        <v>49</v>
      </c>
      <c r="M4" s="256" t="s">
        <v>50</v>
      </c>
      <c r="N4" s="254" t="s">
        <v>54</v>
      </c>
      <c r="O4" s="254" t="s">
        <v>55</v>
      </c>
      <c r="P4" s="254" t="s">
        <v>119</v>
      </c>
      <c r="R4" s="254" t="s">
        <v>15</v>
      </c>
      <c r="S4" s="257" t="s">
        <v>118</v>
      </c>
      <c r="T4" s="254" t="s">
        <v>1</v>
      </c>
      <c r="U4" s="254" t="s">
        <v>3</v>
      </c>
      <c r="V4" s="254" t="s">
        <v>2</v>
      </c>
      <c r="W4" s="254" t="s">
        <v>50</v>
      </c>
      <c r="X4" s="254" t="s">
        <v>54</v>
      </c>
      <c r="Z4" s="254" t="s">
        <v>26</v>
      </c>
      <c r="AA4" s="256">
        <f ca="1">SUM(pajak[Total Invoice])</f>
        <v>213484603</v>
      </c>
    </row>
    <row r="5" spans="1:27">
      <c r="A5" s="576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:],pajak[[#This Row],[//]]-offset))</f>
        <v>AM 24050001</v>
      </c>
      <c r="F5" s="249">
        <f ca="1">IF(pajak[[#This Row],[//]]="","",INDEX(Table1[Tgl Invoice :],pajak[[#This Row],[//]]-offset))</f>
        <v>45416</v>
      </c>
      <c r="G5" t="str">
        <f ca="1">IF(pajak[[#This Row],[//]]="","",INDEX(Table1[Kode Sales :],pajak[[#This Row],[//]]-offset))</f>
        <v>G 4633</v>
      </c>
      <c r="H5" t="str">
        <f ca="1">IF(pajak[[#This Row],[//]]="","",INDEX(Table1[Toko],pajak[[#This Row],[//]]-offset))</f>
        <v>CV UTAMA PUTRA TULUNG AGUNG</v>
      </c>
      <c r="I5" s="250">
        <f ca="1">IF(pajak[[#This Row],[//]]="","",SUMIF(Table1[h_id],pajak[[#This Row],[//]],Table1[h_hargasebelumdiskon]))</f>
        <v>3110400</v>
      </c>
      <c r="J5" s="250">
        <f ca="1">IF(pajak[[#This Row],[//]]="","",SUMIF(Table1[h_id],pajak[[#This Row],[//]],Table1[h_diskon]))</f>
        <v>388800</v>
      </c>
      <c r="K5" s="250">
        <f ca="1">IF(pajak[[#This Row],[//]]="","",SUMIF(Table1[h_id],pajak[[#This Row],[//]],Table1[h_hargasetelahdiskon]))</f>
        <v>2721600</v>
      </c>
      <c r="L5" s="250">
        <f ca="1">IF(pajak[[#This Row],[//]]="","",pajak[[#This Row],[Sub Total]]/1.11*11%)</f>
        <v>269708.10810810811</v>
      </c>
      <c r="M5" s="250">
        <f ca="1">pajak[[#This Row],[Sub Total]]</f>
        <v>2721600</v>
      </c>
      <c r="N5" t="str">
        <f ca="1">IF(pajak[[#This Row],[//]]="","",INDEX(Table1[pembuat nota :],pajak[[#This Row],[//]]-offset))</f>
        <v>NOVI / CONDRO</v>
      </c>
      <c r="O5" t="str">
        <f ca="1">IF(pajak[[#This Row],[//]]="","",IF(INDEX(Table1[edited :],pajak[[#This Row],[//]]-offset)="","",INDEX(Table1[edited :],pajak[[#This Row],[//]]-offset)))</f>
        <v/>
      </c>
      <c r="P5" s="250"/>
      <c r="R5" t="str">
        <f>Table4[[#Headers],[AM]]</f>
        <v>AM</v>
      </c>
      <c r="S5">
        <f t="shared" ref="S5:S36" si="1">S$3+ROW()-5</f>
        <v>24050001</v>
      </c>
      <c r="T5" s="251">
        <f ca="1">IF(Table4[[#This Row],[AM]]&amp;" "&amp;Table4[[#This Row],[---]]=INDIRECT("pajak[@["&amp;Table4[#Headers]&amp;"]]"),MATCH(Table4[[#This Row],[---]],INDIRECT($3:$3),0))</f>
        <v>2</v>
      </c>
      <c r="U5" s="251" t="b">
        <f ca="1">IF((INDEX(INDIRECT($3:$3),Table4[[#This Row],[No. Invoice :]]+$2:$2))=INDIRECT("pajak[@["&amp;Table4[#Headers]&amp;"]]"),1)</f>
        <v>0</v>
      </c>
      <c r="V5" s="251" t="b">
        <f ca="1">IF((INDEX(INDIRECT($3:$3),Table4[[#This Row],[No. Invoice :]]+$2:$2))=INDIRECT("pajak[@["&amp;Table4[#Headers]&amp;"]]"),1)</f>
        <v>0</v>
      </c>
      <c r="W5" s="251" t="b">
        <f ca="1">IF((INDEX(INDIRECT($3:$3),Table4[[#This Row],[No. Invoice :]]+$2:$2))=INDIRECT("pajak[@["&amp;Table4[#Headers]&amp;"]]"),1)</f>
        <v>0</v>
      </c>
      <c r="X5" s="251" t="b">
        <f ca="1">IF((INDEX(INDIRECT($3:$3),Table4[[#This Row],[No. Invoice :]]+$2:$2))=INDIRECT("pajak[@["&amp;Table4[#Headers]&amp;"]]"),1)</f>
        <v>0</v>
      </c>
      <c r="Z5" t="s">
        <v>25</v>
      </c>
      <c r="AA5" s="250">
        <f ca="1">SUM(pajak[PPN 11%])</f>
        <v>21156131.828828834</v>
      </c>
    </row>
    <row r="6" spans="1:27">
      <c r="A6" s="576">
        <v>6</v>
      </c>
      <c r="D6">
        <f t="shared" ca="1" si="0"/>
        <v>6</v>
      </c>
      <c r="E6" t="str">
        <f ca="1">IF(pajak[[#This Row],[//]]="","",INDEX(Table1[No. Invoice :],pajak[[#This Row],[//]]-offset))</f>
        <v>AM 24050002</v>
      </c>
      <c r="F6" s="249">
        <f ca="1">IF(pajak[[#This Row],[//]]="","",INDEX(Table1[Tgl Invoice :],pajak[[#This Row],[//]]-offset))</f>
        <v>45416</v>
      </c>
      <c r="G6" t="str">
        <f ca="1">IF(pajak[[#This Row],[//]]="","",INDEX(Table1[Kode Sales :],pajak[[#This Row],[//]]-offset))</f>
        <v>KO 4710</v>
      </c>
      <c r="H6" t="str">
        <f ca="1">IF(pajak[[#This Row],[//]]="","",INDEX(Table1[Toko],pajak[[#This Row],[//]]-offset))</f>
        <v>CV PELITA JAYA (ANUGERAH SEJAHTERA) PURWOKERTO</v>
      </c>
      <c r="I6" s="250">
        <f ca="1">IF(pajak[[#This Row],[//]]="","",SUMIF(Table1[h_id],pajak[[#This Row],[//]],Table1[h_hargasebelumdiskon]))</f>
        <v>30672600</v>
      </c>
      <c r="J6" s="250">
        <f ca="1">IF(pajak[[#This Row],[//]]="","",SUMIF(Table1[h_id],pajak[[#This Row],[//]],Table1[h_diskon]))</f>
        <v>4140801</v>
      </c>
      <c r="K6" s="250">
        <f ca="1">IF(pajak[[#This Row],[//]]="","",SUMIF(Table1[h_id],pajak[[#This Row],[//]],Table1[h_hargasetelahdiskon]))</f>
        <v>26531799</v>
      </c>
      <c r="L6" s="250">
        <f ca="1">IF(pajak[[#This Row],[//]]="","",pajak[[#This Row],[Sub Total]]/1.11*11%)</f>
        <v>2629277.3783783782</v>
      </c>
      <c r="M6" s="250">
        <f ca="1">pajak[[#This Row],[Sub Total]]</f>
        <v>26531799</v>
      </c>
      <c r="N6" t="str">
        <f ca="1">IF(pajak[[#This Row],[//]]="","",INDEX(Table1[pembuat nota :],pajak[[#This Row],[//]]-offset))</f>
        <v>NOVI / CONDRO</v>
      </c>
      <c r="O6" t="str">
        <f ca="1">IF(pajak[[#This Row],[//]]="","",IF(INDEX(Table1[edited :],pajak[[#This Row],[//]]-offset)="","",INDEX(Table1[edited :],pajak[[#This Row],[//]]-offset)))</f>
        <v/>
      </c>
      <c r="P6" s="250"/>
      <c r="R6" t="str">
        <f>Table4[[#Headers],[AM]]</f>
        <v>AM</v>
      </c>
      <c r="S6">
        <f t="shared" si="1"/>
        <v>24050002</v>
      </c>
      <c r="T6" s="251">
        <f ca="1">IF(Table4[[#This Row],[AM]]&amp;" "&amp;Table4[[#This Row],[---]]=INDIRECT("pajak[@["&amp;Table4[#Headers]&amp;"]]"),MATCH(Table4[[#This Row],[---]],INDIRECT($3:$3),0))</f>
        <v>116</v>
      </c>
      <c r="U6" s="251" t="b">
        <f ca="1">IF((INDEX(INDIRECT($3:$3),Table4[[#This Row],[No. Invoice :]]+$2:$2))=INDIRECT("pajak[@["&amp;Table4[#Headers]&amp;"]]"),1)</f>
        <v>0</v>
      </c>
      <c r="V6" s="251">
        <f ca="1">IF((INDEX(INDIRECT($3:$3),Table4[[#This Row],[No. Invoice :]]+$2:$2))=INDIRECT("pajak[@["&amp;Table4[#Headers]&amp;"]]"),1)</f>
        <v>1</v>
      </c>
      <c r="W6" s="251" t="b">
        <f ca="1">IF((INDEX(INDIRECT($3:$3),Table4[[#This Row],[No. Invoice :]]+$2:$2))=INDIRECT("pajak[@["&amp;Table4[#Headers]&amp;"]]"),1)</f>
        <v>0</v>
      </c>
      <c r="X6" s="251">
        <f ca="1">IF((INDEX(INDIRECT($3:$3),Table4[[#This Row],[No. Invoice :]]+$2:$2))=INDIRECT("pajak[@["&amp;Table4[#Headers]&amp;"]]"),1)</f>
        <v>1</v>
      </c>
      <c r="AA6" s="250">
        <f ca="1">(AA4/1.11)*11%</f>
        <v>21156131.828828827</v>
      </c>
    </row>
    <row r="7" spans="1:27">
      <c r="A7" s="576">
        <v>17</v>
      </c>
      <c r="D7">
        <f t="shared" ca="1" si="0"/>
        <v>17</v>
      </c>
      <c r="E7" t="str">
        <f ca="1">IF(pajak[[#This Row],[//]]="","",INDEX(Table1[No. Invoice :],pajak[[#This Row],[//]]-offset))</f>
        <v>AM 24050003</v>
      </c>
      <c r="F7" s="249">
        <f ca="1">IF(pajak[[#This Row],[//]]="","",INDEX(Table1[Tgl Invoice :],pajak[[#This Row],[//]]-offset))</f>
        <v>45416</v>
      </c>
      <c r="G7" t="str">
        <f ca="1">IF(pajak[[#This Row],[//]]="","",INDEX(Table1[Kode Sales :],pajak[[#This Row],[//]]-offset))</f>
        <v>G 4713</v>
      </c>
      <c r="H7" t="str">
        <f ca="1">IF(pajak[[#This Row],[//]]="","",INDEX(Table1[Toko],pajak[[#This Row],[//]]-offset))</f>
        <v>PT.HASTA KENCANA SAKTI ( TRIO PLAZA ) MAGELANG</v>
      </c>
      <c r="I7" s="250">
        <f ca="1">IF(pajak[[#This Row],[//]]="","",SUMIF(Table1[h_id],pajak[[#This Row],[//]],Table1[h_hargasebelumdiskon]))</f>
        <v>195984</v>
      </c>
      <c r="J7" s="250">
        <f ca="1">IF(pajak[[#This Row],[//]]="","",SUMIF(Table1[h_id],pajak[[#This Row],[//]],Table1[h_diskon]))</f>
        <v>0</v>
      </c>
      <c r="K7" s="250">
        <f ca="1">IF(pajak[[#This Row],[//]]="","",SUMIF(Table1[h_id],pajak[[#This Row],[//]],Table1[h_hargasetelahdiskon]))</f>
        <v>195984</v>
      </c>
      <c r="L7" s="250">
        <f ca="1">IF(pajak[[#This Row],[//]]="","",pajak[[#This Row],[Sub Total]]/1.11*11%)</f>
        <v>19421.837837837837</v>
      </c>
      <c r="M7" s="250">
        <f ca="1">pajak[[#This Row],[Sub Total]]</f>
        <v>195984</v>
      </c>
      <c r="N7" t="str">
        <f ca="1">IF(pajak[[#This Row],[//]]="","",INDEX(Table1[pembuat nota :],pajak[[#This Row],[//]]-offset))</f>
        <v>NOVI / CONDRO</v>
      </c>
      <c r="O7" t="str">
        <f ca="1">IF(pajak[[#This Row],[//]]="","",IF(INDEX(Table1[edited :],pajak[[#This Row],[//]]-offset)="","",INDEX(Table1[edited :],pajak[[#This Row],[//]]-offset)))</f>
        <v/>
      </c>
      <c r="P7" s="250"/>
      <c r="R7" t="str">
        <f>Table4[[#Headers],[AM]]</f>
        <v>AM</v>
      </c>
      <c r="S7">
        <f t="shared" si="1"/>
        <v>24050003</v>
      </c>
      <c r="T7" s="251">
        <f ca="1">IF(Table4[[#This Row],[AM]]&amp;" "&amp;Table4[[#This Row],[---]]=INDIRECT("pajak[@["&amp;Table4[#Headers]&amp;"]]"),MATCH(Table4[[#This Row],[---]],INDIRECT($3:$3),0))</f>
        <v>230</v>
      </c>
      <c r="U7" s="251" t="b">
        <f ca="1">IF((INDEX(INDIRECT($3:$3),Table4[[#This Row],[No. Invoice :]]+$2:$2))=INDIRECT("pajak[@["&amp;Table4[#Headers]&amp;"]]"),1)</f>
        <v>0</v>
      </c>
      <c r="V7" s="251">
        <f ca="1">IF((INDEX(INDIRECT($3:$3),Table4[[#This Row],[No. Invoice :]]+$2:$2))=INDIRECT("pajak[@["&amp;Table4[#Headers]&amp;"]]"),1)</f>
        <v>1</v>
      </c>
      <c r="W7" s="251" t="b">
        <f ca="1">IF((INDEX(INDIRECT($3:$3),Table4[[#This Row],[No. Invoice :]]+$2:$2))=INDIRECT("pajak[@["&amp;Table4[#Headers]&amp;"]]"),1)</f>
        <v>0</v>
      </c>
      <c r="X7" s="251">
        <f ca="1">IF((INDEX(INDIRECT($3:$3),Table4[[#This Row],[No. Invoice :]]+$2:$2))=INDIRECT("pajak[@["&amp;Table4[#Headers]&amp;"]]"),1)</f>
        <v>1</v>
      </c>
    </row>
    <row r="8" spans="1:27">
      <c r="A8" s="576">
        <v>20</v>
      </c>
      <c r="D8">
        <f t="shared" ca="1" si="0"/>
        <v>20</v>
      </c>
      <c r="E8" t="str">
        <f ca="1">IF(pajak[[#This Row],[//]]="","",INDEX(Table1[No. Invoice :],pajak[[#This Row],[//]]-offset))</f>
        <v>AM 24050004</v>
      </c>
      <c r="F8" s="249">
        <f ca="1">IF(pajak[[#This Row],[//]]="","",INDEX(Table1[Tgl Invoice :],pajak[[#This Row],[//]]-offset))</f>
        <v>45416</v>
      </c>
      <c r="G8" t="str">
        <f ca="1">IF(pajak[[#This Row],[//]]="","",INDEX(Table1[Kode Sales :],pajak[[#This Row],[//]]-offset))</f>
        <v>G 4714</v>
      </c>
      <c r="H8" t="str">
        <f ca="1">IF(pajak[[#This Row],[//]]="","",INDEX(Table1[Toko],pajak[[#This Row],[//]]-offset))</f>
        <v>PT.HASTA KENCANA SAKTI ( TRIO PLAZA ) MAGELANG</v>
      </c>
      <c r="I8" s="250">
        <f ca="1">IF(pajak[[#This Row],[//]]="","",SUMIF(Table1[h_id],pajak[[#This Row],[//]],Table1[h_hargasebelumdiskon]))</f>
        <v>663900</v>
      </c>
      <c r="J8" s="250">
        <f ca="1">IF(pajak[[#This Row],[//]]="","",SUMIF(Table1[h_id],pajak[[#This Row],[//]],Table1[h_diskon]))</f>
        <v>0</v>
      </c>
      <c r="K8" s="250">
        <f ca="1">IF(pajak[[#This Row],[//]]="","",SUMIF(Table1[h_id],pajak[[#This Row],[//]],Table1[h_hargasetelahdiskon]))</f>
        <v>663900</v>
      </c>
      <c r="L8" s="250">
        <f ca="1">IF(pajak[[#This Row],[//]]="","",pajak[[#This Row],[Sub Total]]/1.11*11%)</f>
        <v>65791.891891891879</v>
      </c>
      <c r="M8" s="250">
        <f ca="1">pajak[[#This Row],[Sub Total]]</f>
        <v>663900</v>
      </c>
      <c r="N8" t="str">
        <f ca="1">IF(pajak[[#This Row],[//]]="","",INDEX(Table1[pembuat nota :],pajak[[#This Row],[//]]-offset))</f>
        <v>NOVI / CONDRO</v>
      </c>
      <c r="O8" t="str">
        <f ca="1">IF(pajak[[#This Row],[//]]="","",IF(INDEX(Table1[edited :],pajak[[#This Row],[//]]-offset)="","",INDEX(Table1[edited :],pajak[[#This Row],[//]]-offset)))</f>
        <v/>
      </c>
      <c r="P8" s="250"/>
      <c r="R8" t="str">
        <f>Table4[[#Headers],[AM]]</f>
        <v>AM</v>
      </c>
      <c r="S8">
        <f t="shared" si="1"/>
        <v>24050004</v>
      </c>
      <c r="T8" s="251">
        <f ca="1">IF(Table4[[#This Row],[AM]]&amp;" "&amp;Table4[[#This Row],[---]]=INDIRECT("pajak[@["&amp;Table4[#Headers]&amp;"]]"),MATCH(Table4[[#This Row],[---]],INDIRECT($3:$3),0))</f>
        <v>344</v>
      </c>
      <c r="U8" s="251" t="b">
        <f ca="1">IF((INDEX(INDIRECT($3:$3),Table4[[#This Row],[No. Invoice :]]+$2:$2))=INDIRECT("pajak[@["&amp;Table4[#Headers]&amp;"]]"),1)</f>
        <v>0</v>
      </c>
      <c r="V8" s="251">
        <f ca="1">IF((INDEX(INDIRECT($3:$3),Table4[[#This Row],[No. Invoice :]]+$2:$2))=INDIRECT("pajak[@["&amp;Table4[#Headers]&amp;"]]"),1)</f>
        <v>1</v>
      </c>
      <c r="W8" s="251" t="b">
        <f ca="1">IF((INDEX(INDIRECT($3:$3),Table4[[#This Row],[No. Invoice :]]+$2:$2))=INDIRECT("pajak[@["&amp;Table4[#Headers]&amp;"]]"),1)</f>
        <v>0</v>
      </c>
      <c r="X8" s="251">
        <f ca="1">IF((INDEX(INDIRECT($3:$3),Table4[[#This Row],[No. Invoice :]]+$2:$2))=INDIRECT("pajak[@["&amp;Table4[#Headers]&amp;"]]"),1)</f>
        <v>1</v>
      </c>
    </row>
    <row r="9" spans="1:27">
      <c r="A9" s="576">
        <v>25</v>
      </c>
      <c r="D9">
        <f t="shared" ca="1" si="0"/>
        <v>25</v>
      </c>
      <c r="E9" t="str">
        <f ca="1">IF(pajak[[#This Row],[//]]="","",INDEX(Table1[No. Invoice :],pajak[[#This Row],[//]]-offset))</f>
        <v>AM 24050005</v>
      </c>
      <c r="F9" s="249">
        <f ca="1">IF(pajak[[#This Row],[//]]="","",INDEX(Table1[Tgl Invoice :],pajak[[#This Row],[//]]-offset))</f>
        <v>45419</v>
      </c>
      <c r="G9" t="str">
        <f ca="1">IF(pajak[[#This Row],[//]]="","",INDEX(Table1[Kode Sales :],pajak[[#This Row],[//]]-offset))</f>
        <v>KO 3119</v>
      </c>
      <c r="H9" t="str">
        <f ca="1">IF(pajak[[#This Row],[//]]="","",INDEX(Table1[Toko],pajak[[#This Row],[//]]-offset))</f>
        <v>CV LANCAR JAYA SENTOSA MALANG</v>
      </c>
      <c r="I9" s="250">
        <f ca="1">IF(pajak[[#This Row],[//]]="","",SUMIF(Table1[h_id],pajak[[#This Row],[//]],Table1[h_hargasebelumdiskon]))</f>
        <v>17438000</v>
      </c>
      <c r="J9" s="250">
        <f ca="1">IF(pajak[[#This Row],[//]]="","",SUMIF(Table1[h_id],pajak[[#This Row],[//]],Table1[h_diskon]))</f>
        <v>2179750</v>
      </c>
      <c r="K9" s="250">
        <f ca="1">IF(pajak[[#This Row],[//]]="","",SUMIF(Table1[h_id],pajak[[#This Row],[//]],Table1[h_hargasetelahdiskon]))</f>
        <v>15258250</v>
      </c>
      <c r="L9" s="250">
        <f ca="1">IF(pajak[[#This Row],[//]]="","",pajak[[#This Row],[Sub Total]]/1.11*11%)</f>
        <v>1512078.8288288286</v>
      </c>
      <c r="M9" s="250">
        <f ca="1">pajak[[#This Row],[Sub Total]]</f>
        <v>15258250</v>
      </c>
      <c r="N9" t="str">
        <f ca="1">IF(pajak[[#This Row],[//]]="","",INDEX(Table1[pembuat nota :],pajak[[#This Row],[//]]-offset))</f>
        <v>RISMA / CONDRO</v>
      </c>
      <c r="O9" t="str">
        <f ca="1">IF(pajak[[#This Row],[//]]="","",IF(INDEX(Table1[edited :],pajak[[#This Row],[//]]-offset)="","",INDEX(Table1[edited :],pajak[[#This Row],[//]]-offset)))</f>
        <v/>
      </c>
      <c r="P9" s="250"/>
      <c r="R9" t="str">
        <f>Table4[[#Headers],[AM]]</f>
        <v>AM</v>
      </c>
      <c r="S9">
        <f t="shared" si="1"/>
        <v>24050005</v>
      </c>
      <c r="T9" s="251">
        <f ca="1">IF(Table4[[#This Row],[AM]]&amp;" "&amp;Table4[[#This Row],[---]]=INDIRECT("pajak[@["&amp;Table4[#Headers]&amp;"]]"),MATCH(Table4[[#This Row],[---]],INDIRECT($3:$3),0))</f>
        <v>458</v>
      </c>
      <c r="U9" s="251" t="b">
        <f ca="1">IF((INDEX(INDIRECT($3:$3),Table4[[#This Row],[No. Invoice :]]+$2:$2))=INDIRECT("pajak[@["&amp;Table4[#Headers]&amp;"]]"),1)</f>
        <v>0</v>
      </c>
      <c r="V9" s="251" t="b">
        <f ca="1">IF((INDEX(INDIRECT($3:$3),Table4[[#This Row],[No. Invoice :]]+$2:$2))=INDIRECT("pajak[@["&amp;Table4[#Headers]&amp;"]]"),1)</f>
        <v>0</v>
      </c>
      <c r="W9" s="251" t="b">
        <f ca="1">IF((INDEX(INDIRECT($3:$3),Table4[[#This Row],[No. Invoice :]]+$2:$2))=INDIRECT("pajak[@["&amp;Table4[#Headers]&amp;"]]"),1)</f>
        <v>0</v>
      </c>
      <c r="X9" s="251" t="b">
        <f ca="1">IF((INDEX(INDIRECT($3:$3),Table4[[#This Row],[No. Invoice :]]+$2:$2))=INDIRECT("pajak[@["&amp;Table4[#Headers]&amp;"]]"),1)</f>
        <v>0</v>
      </c>
    </row>
    <row r="10" spans="1:27">
      <c r="A10" s="576">
        <v>30</v>
      </c>
      <c r="D10">
        <f t="shared" ca="1" si="0"/>
        <v>30</v>
      </c>
      <c r="E10" t="str">
        <f ca="1">IF(pajak[[#This Row],[//]]="","",INDEX(Table1[No. Invoice :],pajak[[#This Row],[//]]-offset))</f>
        <v>AM 24050006</v>
      </c>
      <c r="F10" s="249">
        <f ca="1">IF(pajak[[#This Row],[//]]="","",INDEX(Table1[Tgl Invoice :],pajak[[#This Row],[//]]-offset))</f>
        <v>45419</v>
      </c>
      <c r="G10" t="str">
        <f ca="1">IF(pajak[[#This Row],[//]]="","",INDEX(Table1[Kode Sales :],pajak[[#This Row],[//]]-offset))</f>
        <v>G 2993</v>
      </c>
      <c r="H10" t="str">
        <f ca="1">IF(pajak[[#This Row],[//]]="","",INDEX(Table1[Toko],pajak[[#This Row],[//]]-offset))</f>
        <v>LILY JULIAWATI (REJO AGUNG) JOMBANG</v>
      </c>
      <c r="I10" s="250">
        <f ca="1">IF(pajak[[#This Row],[//]]="","",SUMIF(Table1[h_id],pajak[[#This Row],[//]],Table1[h_hargasebelumdiskon]))</f>
        <v>53320000</v>
      </c>
      <c r="J10" s="250">
        <f ca="1">IF(pajak[[#This Row],[//]]="","",SUMIF(Table1[h_id],pajak[[#This Row],[//]],Table1[h_diskon]))</f>
        <v>6665000</v>
      </c>
      <c r="K10" s="250">
        <f ca="1">IF(pajak[[#This Row],[//]]="","",SUMIF(Table1[h_id],pajak[[#This Row],[//]],Table1[h_hargasetelahdiskon]))</f>
        <v>46655000</v>
      </c>
      <c r="L10" s="250">
        <f ca="1">IF(pajak[[#This Row],[//]]="","",pajak[[#This Row],[Sub Total]]/1.11*11%)</f>
        <v>4623468.4684684677</v>
      </c>
      <c r="M10" s="250">
        <f ca="1">pajak[[#This Row],[Sub Total]]</f>
        <v>46655000</v>
      </c>
      <c r="N10" t="str">
        <f ca="1">IF(pajak[[#This Row],[//]]="","",INDEX(Table1[pembuat nota :],pajak[[#This Row],[//]]-offset))</f>
        <v>LENA / CONDRO</v>
      </c>
      <c r="O10" t="str">
        <f ca="1">IF(pajak[[#This Row],[//]]="","",IF(INDEX(Table1[edited :],pajak[[#This Row],[//]]-offset)="","",INDEX(Table1[edited :],pajak[[#This Row],[//]]-offset)))</f>
        <v/>
      </c>
      <c r="P10" s="250"/>
      <c r="R10" t="str">
        <f>Table4[[#Headers],[AM]]</f>
        <v>AM</v>
      </c>
      <c r="S10">
        <f t="shared" si="1"/>
        <v>24050006</v>
      </c>
      <c r="T10" s="251">
        <f ca="1">IF(Table4[[#This Row],[AM]]&amp;" "&amp;Table4[[#This Row],[---]]=INDIRECT("pajak[@["&amp;Table4[#Headers]&amp;"]]"),MATCH(Table4[[#This Row],[---]],INDIRECT($3:$3),0))</f>
        <v>572</v>
      </c>
      <c r="U10" s="251" t="b">
        <f ca="1">IF((INDEX(INDIRECT($3:$3),Table4[[#This Row],[No. Invoice :]]+$2:$2))=INDIRECT("pajak[@["&amp;Table4[#Headers]&amp;"]]"),1)</f>
        <v>0</v>
      </c>
      <c r="V10" s="251">
        <f ca="1">IF((INDEX(INDIRECT($3:$3),Table4[[#This Row],[No. Invoice :]]+$2:$2))=INDIRECT("pajak[@["&amp;Table4[#Headers]&amp;"]]"),1)</f>
        <v>1</v>
      </c>
      <c r="W10" s="251" t="b">
        <f ca="1">IF((INDEX(INDIRECT($3:$3),Table4[[#This Row],[No. Invoice :]]+$2:$2))=INDIRECT("pajak[@["&amp;Table4[#Headers]&amp;"]]"),1)</f>
        <v>0</v>
      </c>
      <c r="X10" s="251" t="b">
        <f ca="1">IF((INDEX(INDIRECT($3:$3),Table4[[#This Row],[No. Invoice :]]+$2:$2))=INDIRECT("pajak[@["&amp;Table4[#Headers]&amp;"]]"),1)</f>
        <v>0</v>
      </c>
    </row>
    <row r="11" spans="1:27">
      <c r="A11" s="576">
        <v>37</v>
      </c>
      <c r="D11">
        <f t="shared" ca="1" si="0"/>
        <v>37</v>
      </c>
      <c r="E11" t="str">
        <f ca="1">IF(pajak[[#This Row],[//]]="","",INDEX(Table1[No. Invoice :],pajak[[#This Row],[//]]-offset))</f>
        <v>AM 24050007</v>
      </c>
      <c r="F11" s="249">
        <f ca="1">IF(pajak[[#This Row],[//]]="","",INDEX(Table1[Tgl Invoice :],pajak[[#This Row],[//]]-offset))</f>
        <v>45420</v>
      </c>
      <c r="G11" t="str">
        <f ca="1">IF(pajak[[#This Row],[//]]="","",INDEX(Table1[Kode Sales :],pajak[[#This Row],[//]]-offset))</f>
        <v>G 3000</v>
      </c>
      <c r="H11" t="str">
        <f ca="1">IF(pajak[[#This Row],[//]]="","",INDEX(Table1[Toko],pajak[[#This Row],[//]]-offset))</f>
        <v>LILY JULIAWATI (REJO AGUNG) JOMBANG</v>
      </c>
      <c r="I11" s="250">
        <f ca="1">IF(pajak[[#This Row],[//]]="","",SUMIF(Table1[h_id],pajak[[#This Row],[//]],Table1[h_hargasebelumdiskon]))</f>
        <v>15379200</v>
      </c>
      <c r="J11" s="250">
        <f ca="1">IF(pajak[[#This Row],[//]]="","",SUMIF(Table1[h_id],pajak[[#This Row],[//]],Table1[h_diskon]))</f>
        <v>1922400</v>
      </c>
      <c r="K11" s="250">
        <f ca="1">IF(pajak[[#This Row],[//]]="","",SUMIF(Table1[h_id],pajak[[#This Row],[//]],Table1[h_hargasetelahdiskon]))</f>
        <v>13456800</v>
      </c>
      <c r="L11" s="250">
        <f ca="1">IF(pajak[[#This Row],[//]]="","",pajak[[#This Row],[Sub Total]]/1.11*11%)</f>
        <v>1333556.7567567567</v>
      </c>
      <c r="M11" s="250">
        <f ca="1">pajak[[#This Row],[Sub Total]]</f>
        <v>13456800</v>
      </c>
      <c r="N11" t="str">
        <f ca="1">IF(pajak[[#This Row],[//]]="","",INDEX(Table1[pembuat nota :],pajak[[#This Row],[//]]-offset))</f>
        <v>NOVI / CONDRO</v>
      </c>
      <c r="O11" t="str">
        <f ca="1">IF(pajak[[#This Row],[//]]="","",IF(INDEX(Table1[edited :],pajak[[#This Row],[//]]-offset)="","",INDEX(Table1[edited :],pajak[[#This Row],[//]]-offset)))</f>
        <v/>
      </c>
      <c r="P11" s="250"/>
      <c r="R11" t="str">
        <f>Table4[[#Headers],[AM]]</f>
        <v>AM</v>
      </c>
      <c r="S11">
        <f t="shared" si="1"/>
        <v>24050007</v>
      </c>
      <c r="T11" s="251">
        <f ca="1">IF(Table4[[#This Row],[AM]]&amp;" "&amp;Table4[[#This Row],[---]]=INDIRECT("pajak[@["&amp;Table4[#Headers]&amp;"]]"),MATCH(Table4[[#This Row],[---]],INDIRECT($3:$3),0))</f>
        <v>686</v>
      </c>
      <c r="U11" s="251" t="b">
        <f ca="1">IF((INDEX(INDIRECT($3:$3),Table4[[#This Row],[No. Invoice :]]+$2:$2))=INDIRECT("pajak[@["&amp;Table4[#Headers]&amp;"]]"),1)</f>
        <v>0</v>
      </c>
      <c r="V11" s="251" t="b">
        <f ca="1">IF((INDEX(INDIRECT($3:$3),Table4[[#This Row],[No. Invoice :]]+$2:$2))=INDIRECT("pajak[@["&amp;Table4[#Headers]&amp;"]]"),1)</f>
        <v>0</v>
      </c>
      <c r="W11" s="251" t="b">
        <f ca="1">IF((INDEX(INDIRECT($3:$3),Table4[[#This Row],[No. Invoice :]]+$2:$2))=INDIRECT("pajak[@["&amp;Table4[#Headers]&amp;"]]"),1)</f>
        <v>0</v>
      </c>
      <c r="X11" s="251" t="b">
        <f ca="1">IF((INDEX(INDIRECT($3:$3),Table4[[#This Row],[No. Invoice :]]+$2:$2))=INDIRECT("pajak[@["&amp;Table4[#Headers]&amp;"]]"),1)</f>
        <v>0</v>
      </c>
    </row>
    <row r="12" spans="1:27">
      <c r="A12" s="576">
        <v>40</v>
      </c>
      <c r="D12">
        <f t="shared" ca="1" si="0"/>
        <v>40</v>
      </c>
      <c r="E12" t="str">
        <f ca="1">IF(pajak[[#This Row],[//]]="","",INDEX(Table1[No. Invoice :],pajak[[#This Row],[//]]-offset))</f>
        <v>AM 24050008</v>
      </c>
      <c r="F12" s="249">
        <f ca="1">IF(pajak[[#This Row],[//]]="","",INDEX(Table1[Tgl Invoice :],pajak[[#This Row],[//]]-offset))</f>
        <v>45420</v>
      </c>
      <c r="G12" t="str">
        <f ca="1">IF(pajak[[#This Row],[//]]="","",INDEX(Table1[Kode Sales :],pajak[[#This Row],[//]]-offset))</f>
        <v>KO 4804</v>
      </c>
      <c r="H12" t="str">
        <f ca="1">IF(pajak[[#This Row],[//]]="","",INDEX(Table1[Toko],pajak[[#This Row],[//]]-offset))</f>
        <v>CV SINAR CAHAYA NIRMALA BREBES</v>
      </c>
      <c r="I12" s="250">
        <f ca="1">IF(pajak[[#This Row],[//]]="","",SUMIF(Table1[h_id],pajak[[#This Row],[//]],Table1[h_hargasebelumdiskon]))</f>
        <v>1549800</v>
      </c>
      <c r="J12" s="250">
        <f ca="1">IF(pajak[[#This Row],[//]]="","",SUMIF(Table1[h_id],pajak[[#This Row],[//]],Table1[h_diskon]))</f>
        <v>12480</v>
      </c>
      <c r="K12" s="250">
        <f ca="1">IF(pajak[[#This Row],[//]]="","",SUMIF(Table1[h_id],pajak[[#This Row],[//]],Table1[h_hargasetelahdiskon]))</f>
        <v>1537320</v>
      </c>
      <c r="L12" s="250">
        <f ca="1">IF(pajak[[#This Row],[//]]="","",pajak[[#This Row],[Sub Total]]/1.11*11%)</f>
        <v>152347.02702702701</v>
      </c>
      <c r="M12" s="250">
        <f ca="1">pajak[[#This Row],[Sub Total]]</f>
        <v>1537320</v>
      </c>
      <c r="N12" t="str">
        <f ca="1">IF(pajak[[#This Row],[//]]="","",INDEX(Table1[pembuat nota :],pajak[[#This Row],[//]]-offset))</f>
        <v>NOVI / CONDRO</v>
      </c>
      <c r="O12" t="str">
        <f ca="1">IF(pajak[[#This Row],[//]]="","",IF(INDEX(Table1[edited :],pajak[[#This Row],[//]]-offset)="","",INDEX(Table1[edited :],pajak[[#This Row],[//]]-offset)))</f>
        <v/>
      </c>
      <c r="P12" s="250"/>
      <c r="R12" t="str">
        <f>Table4[[#Headers],[AM]]</f>
        <v>AM</v>
      </c>
      <c r="S12">
        <f t="shared" si="1"/>
        <v>24050008</v>
      </c>
      <c r="T12" s="251">
        <f ca="1">IF(Table4[[#This Row],[AM]]&amp;" "&amp;Table4[[#This Row],[---]]=INDIRECT("pajak[@["&amp;Table4[#Headers]&amp;"]]"),MATCH(Table4[[#This Row],[---]],INDIRECT($3:$3),0))</f>
        <v>800</v>
      </c>
      <c r="U12" s="251" t="b">
        <f ca="1">IF((INDEX(INDIRECT($3:$3),Table4[[#This Row],[No. Invoice :]]+$2:$2))=INDIRECT("pajak[@["&amp;Table4[#Headers]&amp;"]]"),1)</f>
        <v>0</v>
      </c>
      <c r="V12" s="251">
        <f ca="1">IF((INDEX(INDIRECT($3:$3),Table4[[#This Row],[No. Invoice :]]+$2:$2))=INDIRECT("pajak[@["&amp;Table4[#Headers]&amp;"]]"),1)</f>
        <v>1</v>
      </c>
      <c r="W12" s="251" t="b">
        <f ca="1">IF((INDEX(INDIRECT($3:$3),Table4[[#This Row],[No. Invoice :]]+$2:$2))=INDIRECT("pajak[@["&amp;Table4[#Headers]&amp;"]]"),1)</f>
        <v>0</v>
      </c>
      <c r="X12" s="251">
        <f ca="1">IF((INDEX(INDIRECT($3:$3),Table4[[#This Row],[No. Invoice :]]+$2:$2))=INDIRECT("pajak[@["&amp;Table4[#Headers]&amp;"]]"),1)</f>
        <v>1</v>
      </c>
    </row>
    <row r="13" spans="1:27">
      <c r="A13" s="576">
        <v>50</v>
      </c>
      <c r="D13">
        <f t="shared" ca="1" si="0"/>
        <v>50</v>
      </c>
      <c r="E13" t="str">
        <f ca="1">IF(pajak[[#This Row],[//]]="","",INDEX(Table1[No. Invoice :],pajak[[#This Row],[//]]-offset))</f>
        <v>AM 24050009</v>
      </c>
      <c r="F13" s="249">
        <f ca="1">IF(pajak[[#This Row],[//]]="","",INDEX(Table1[Tgl Invoice :],pajak[[#This Row],[//]]-offset))</f>
        <v>45422</v>
      </c>
      <c r="G13" t="str">
        <f ca="1">IF(pajak[[#This Row],[//]]="","",INDEX(Table1[Kode Sales :],pajak[[#This Row],[//]]-offset))</f>
        <v>KO 4862</v>
      </c>
      <c r="H13" t="str">
        <f ca="1">IF(pajak[[#This Row],[//]]="","",INDEX(Table1[Toko],pajak[[#This Row],[//]]-offset))</f>
        <v>CV PELITA JAYA (ANUGERAH SEJAHTERA) PURWOKERTO</v>
      </c>
      <c r="I13" s="250">
        <f ca="1">IF(pajak[[#This Row],[//]]="","",SUMIF(Table1[h_id],pajak[[#This Row],[//]],Table1[h_hargasebelumdiskon]))</f>
        <v>9836000</v>
      </c>
      <c r="J13" s="250">
        <f ca="1">IF(pajak[[#This Row],[//]]="","",SUMIF(Table1[h_id],pajak[[#This Row],[//]],Table1[h_diskon]))</f>
        <v>1327860</v>
      </c>
      <c r="K13" s="250">
        <f ca="1">IF(pajak[[#This Row],[//]]="","",SUMIF(Table1[h_id],pajak[[#This Row],[//]],Table1[h_hargasetelahdiskon]))</f>
        <v>8508140</v>
      </c>
      <c r="L13" s="250">
        <f ca="1">IF(pajak[[#This Row],[//]]="","",pajak[[#This Row],[Sub Total]]/1.11*11%)</f>
        <v>843149.00900900899</v>
      </c>
      <c r="M13" s="250">
        <f ca="1">pajak[[#This Row],[Sub Total]]</f>
        <v>8508140</v>
      </c>
      <c r="N13" t="str">
        <f ca="1">IF(pajak[[#This Row],[//]]="","",INDEX(Table1[pembuat nota :],pajak[[#This Row],[//]]-offset))</f>
        <v>VALEN / NOVI</v>
      </c>
      <c r="O13" t="str">
        <f ca="1">IF(pajak[[#This Row],[//]]="","",IF(INDEX(Table1[edited :],pajak[[#This Row],[//]]-offset)="","",INDEX(Table1[edited :],pajak[[#This Row],[//]]-offset)))</f>
        <v/>
      </c>
      <c r="P13" s="250"/>
      <c r="R13" t="str">
        <f>Table4[[#Headers],[AM]]</f>
        <v>AM</v>
      </c>
      <c r="S13">
        <f t="shared" si="1"/>
        <v>24050009</v>
      </c>
      <c r="T13" s="251">
        <f ca="1">IF(Table4[[#This Row],[AM]]&amp;" "&amp;Table4[[#This Row],[---]]=INDIRECT("pajak[@["&amp;Table4[#Headers]&amp;"]]"),MATCH(Table4[[#This Row],[---]],INDIRECT($3:$3),0))</f>
        <v>914</v>
      </c>
      <c r="U13" s="251" t="b">
        <f ca="1">IF((INDEX(INDIRECT($3:$3),Table4[[#This Row],[No. Invoice :]]+$2:$2))=INDIRECT("pajak[@["&amp;Table4[#Headers]&amp;"]]"),1)</f>
        <v>0</v>
      </c>
      <c r="V13" s="251" t="b">
        <f ca="1">IF((INDEX(INDIRECT($3:$3),Table4[[#This Row],[No. Invoice :]]+$2:$2))=INDIRECT("pajak[@["&amp;Table4[#Headers]&amp;"]]"),1)</f>
        <v>0</v>
      </c>
      <c r="W13" s="251" t="b">
        <f ca="1">IF((INDEX(INDIRECT($3:$3),Table4[[#This Row],[No. Invoice :]]+$2:$2))=INDIRECT("pajak[@["&amp;Table4[#Headers]&amp;"]]"),1)</f>
        <v>0</v>
      </c>
      <c r="X13" s="251" t="b">
        <f ca="1">IF((INDEX(INDIRECT($3:$3),Table4[[#This Row],[No. Invoice :]]+$2:$2))=INDIRECT("pajak[@["&amp;Table4[#Headers]&amp;"]]"),1)</f>
        <v>0</v>
      </c>
    </row>
    <row r="14" spans="1:27">
      <c r="A14" s="576">
        <v>55</v>
      </c>
      <c r="D14">
        <f t="shared" ca="1" si="0"/>
        <v>55</v>
      </c>
      <c r="E14" t="str">
        <f ca="1">IF(pajak[[#This Row],[//]]="","",INDEX(Table1[No. Invoice :],pajak[[#This Row],[//]]-offset))</f>
        <v>AM 24050010</v>
      </c>
      <c r="F14" s="249">
        <f ca="1">IF(pajak[[#This Row],[//]]="","",INDEX(Table1[Tgl Invoice :],pajak[[#This Row],[//]]-offset))</f>
        <v>45423</v>
      </c>
      <c r="G14" t="str">
        <f ca="1">IF(pajak[[#This Row],[//]]="","",INDEX(Table1[Kode Sales :],pajak[[#This Row],[//]]-offset))</f>
        <v>KO 4738</v>
      </c>
      <c r="H14" t="str">
        <f ca="1">IF(pajak[[#This Row],[//]]="","",INDEX(Table1[Toko],pajak[[#This Row],[//]]-offset))</f>
        <v>HARNOYO (BENDAN) PEKALONGAN</v>
      </c>
      <c r="I14" s="250">
        <f ca="1">IF(pajak[[#This Row],[//]]="","",SUMIF(Table1[h_id],pajak[[#This Row],[//]],Table1[h_hargasebelumdiskon]))</f>
        <v>13590000</v>
      </c>
      <c r="J14" s="250">
        <f ca="1">IF(pajak[[#This Row],[//]]="","",SUMIF(Table1[h_id],pajak[[#This Row],[//]],Table1[h_diskon]))</f>
        <v>1902600</v>
      </c>
      <c r="K14" s="250">
        <f ca="1">IF(pajak[[#This Row],[//]]="","",SUMIF(Table1[h_id],pajak[[#This Row],[//]],Table1[h_hargasetelahdiskon]))</f>
        <v>11687400</v>
      </c>
      <c r="L14" s="250">
        <f ca="1">IF(pajak[[#This Row],[//]]="","",pajak[[#This Row],[Sub Total]]/1.11*11%)</f>
        <v>1158210.8108108107</v>
      </c>
      <c r="M14" s="250">
        <f ca="1">pajak[[#This Row],[Sub Total]]</f>
        <v>11687400</v>
      </c>
      <c r="N14" t="str">
        <f ca="1">IF(pajak[[#This Row],[//]]="","",INDEX(Table1[pembuat nota :],pajak[[#This Row],[//]]-offset))</f>
        <v>NOVI / CONDRO</v>
      </c>
      <c r="O14" t="str">
        <f ca="1">IF(pajak[[#This Row],[//]]="","",IF(INDEX(Table1[edited :],pajak[[#This Row],[//]]-offset)="","",INDEX(Table1[edited :],pajak[[#This Row],[//]]-offset)))</f>
        <v/>
      </c>
      <c r="P14" s="250"/>
      <c r="R14" t="str">
        <f>Table4[[#Headers],[AM]]</f>
        <v>AM</v>
      </c>
      <c r="S14">
        <f t="shared" si="1"/>
        <v>24050010</v>
      </c>
      <c r="T14" s="251">
        <f ca="1">IF(Table4[[#This Row],[AM]]&amp;" "&amp;Table4[[#This Row],[---]]=INDIRECT("pajak[@["&amp;Table4[#Headers]&amp;"]]"),MATCH(Table4[[#This Row],[---]],INDIRECT($3:$3),0))</f>
        <v>1028</v>
      </c>
      <c r="U14" s="251" t="b">
        <f ca="1">IF((INDEX(INDIRECT($3:$3),Table4[[#This Row],[No. Invoice :]]+$2:$2))=INDIRECT("pajak[@["&amp;Table4[#Headers]&amp;"]]"),1)</f>
        <v>0</v>
      </c>
      <c r="V14" s="251" t="b">
        <f ca="1">IF((INDEX(INDIRECT($3:$3),Table4[[#This Row],[No. Invoice :]]+$2:$2))=INDIRECT("pajak[@["&amp;Table4[#Headers]&amp;"]]"),1)</f>
        <v>0</v>
      </c>
      <c r="W14" s="251" t="b">
        <f ca="1">IF((INDEX(INDIRECT($3:$3),Table4[[#This Row],[No. Invoice :]]+$2:$2))=INDIRECT("pajak[@["&amp;Table4[#Headers]&amp;"]]"),1)</f>
        <v>0</v>
      </c>
      <c r="X14" s="251" t="b">
        <f ca="1">IF((INDEX(INDIRECT($3:$3),Table4[[#This Row],[No. Invoice :]]+$2:$2))=INDIRECT("pajak[@["&amp;Table4[#Headers]&amp;"]]"),1)</f>
        <v>0</v>
      </c>
    </row>
    <row r="15" spans="1:27">
      <c r="A15" s="576">
        <v>63</v>
      </c>
      <c r="D15">
        <f t="shared" ca="1" si="0"/>
        <v>63</v>
      </c>
      <c r="E15" t="str">
        <f ca="1">IF(pajak[[#This Row],[//]]="","",INDEX(Table1[No. Invoice :],pajak[[#This Row],[//]]-offset))</f>
        <v>AM 24050011</v>
      </c>
      <c r="F15" s="249">
        <f ca="1">IF(pajak[[#This Row],[//]]="","",INDEX(Table1[Tgl Invoice :],pajak[[#This Row],[//]]-offset))</f>
        <v>45422</v>
      </c>
      <c r="G15" t="str">
        <f ca="1">IF(pajak[[#This Row],[//]]="","",INDEX(Table1[Kode Sales :],pajak[[#This Row],[//]]-offset))</f>
        <v>KO 4805</v>
      </c>
      <c r="H15" t="str">
        <f ca="1">IF(pajak[[#This Row],[//]]="","",INDEX(Table1[Toko],pajak[[#This Row],[//]]-offset))</f>
        <v>CV SINAR CAHAYA NIRMALA BREBES</v>
      </c>
      <c r="I15" s="250">
        <f ca="1">IF(pajak[[#This Row],[//]]="","",SUMIF(Table1[h_id],pajak[[#This Row],[//]],Table1[h_hargasebelumdiskon]))</f>
        <v>5073000</v>
      </c>
      <c r="J15" s="250">
        <f ca="1">IF(pajak[[#This Row],[//]]="","",SUMIF(Table1[h_id],pajak[[#This Row],[//]],Table1[h_diskon]))</f>
        <v>440400</v>
      </c>
      <c r="K15" s="250">
        <f ca="1">IF(pajak[[#This Row],[//]]="","",SUMIF(Table1[h_id],pajak[[#This Row],[//]],Table1[h_hargasetelahdiskon]))</f>
        <v>4632600</v>
      </c>
      <c r="L15" s="250">
        <f ca="1">IF(pajak[[#This Row],[//]]="","",pajak[[#This Row],[Sub Total]]/1.11*11%)</f>
        <v>459086.48648648645</v>
      </c>
      <c r="M15" s="250">
        <f ca="1">pajak[[#This Row],[Sub Total]]</f>
        <v>4632600</v>
      </c>
      <c r="N15" t="str">
        <f ca="1">IF(pajak[[#This Row],[//]]="","",INDEX(Table1[pembuat nota :],pajak[[#This Row],[//]]-offset))</f>
        <v>RISMA / CONDRO</v>
      </c>
      <c r="O15" t="str">
        <f ca="1">IF(pajak[[#This Row],[//]]="","",IF(INDEX(Table1[edited :],pajak[[#This Row],[//]]-offset)="","",INDEX(Table1[edited :],pajak[[#This Row],[//]]-offset)))</f>
        <v/>
      </c>
      <c r="P15" s="250"/>
      <c r="R15" t="str">
        <f>Table4[[#Headers],[AM]]</f>
        <v>AM</v>
      </c>
      <c r="S15">
        <f t="shared" si="1"/>
        <v>24050011</v>
      </c>
      <c r="T15" s="251">
        <f ca="1">IF(Table4[[#This Row],[AM]]&amp;" "&amp;Table4[[#This Row],[---]]=INDIRECT("pajak[@["&amp;Table4[#Headers]&amp;"]]"),MATCH(Table4[[#This Row],[---]],INDIRECT($3:$3),0))</f>
        <v>1142</v>
      </c>
      <c r="U15" s="251" t="b">
        <f ca="1">IF((INDEX(INDIRECT($3:$3),Table4[[#This Row],[No. Invoice :]]+$2:$2))=INDIRECT("pajak[@["&amp;Table4[#Headers]&amp;"]]"),1)</f>
        <v>0</v>
      </c>
      <c r="V15" s="251" t="b">
        <f ca="1">IF((INDEX(INDIRECT($3:$3),Table4[[#This Row],[No. Invoice :]]+$2:$2))=INDIRECT("pajak[@["&amp;Table4[#Headers]&amp;"]]"),1)</f>
        <v>0</v>
      </c>
      <c r="W15" s="251" t="b">
        <f ca="1">IF((INDEX(INDIRECT($3:$3),Table4[[#This Row],[No. Invoice :]]+$2:$2))=INDIRECT("pajak[@["&amp;Table4[#Headers]&amp;"]]"),1)</f>
        <v>0</v>
      </c>
      <c r="X15" s="251" t="b">
        <f ca="1">IF((INDEX(INDIRECT($3:$3),Table4[[#This Row],[No. Invoice :]]+$2:$2))=INDIRECT("pajak[@["&amp;Table4[#Headers]&amp;"]]"),1)</f>
        <v>0</v>
      </c>
    </row>
    <row r="16" spans="1:27">
      <c r="A16" s="576">
        <v>80</v>
      </c>
      <c r="D16">
        <f t="shared" ca="1" si="0"/>
        <v>80</v>
      </c>
      <c r="E16" t="str">
        <f ca="1">IF(pajak[[#This Row],[//]]="","",INDEX(Table1[No. Invoice :],pajak[[#This Row],[//]]-offset))</f>
        <v>AM 24050012</v>
      </c>
      <c r="F16" s="249">
        <f ca="1">IF(pajak[[#This Row],[//]]="","",INDEX(Table1[Tgl Invoice :],pajak[[#This Row],[//]]-offset))</f>
        <v>45422</v>
      </c>
      <c r="G16" t="str">
        <f ca="1">IF(pajak[[#This Row],[//]]="","",INDEX(Table1[Kode Sales :],pajak[[#This Row],[//]]-offset))</f>
        <v>KO 4806</v>
      </c>
      <c r="H16" t="str">
        <f ca="1">IF(pajak[[#This Row],[//]]="","",INDEX(Table1[Toko],pajak[[#This Row],[//]]-offset))</f>
        <v>CV SINAR CAHAYA NIRMALA BREBES</v>
      </c>
      <c r="I16" s="250">
        <f ca="1">IF(pajak[[#This Row],[//]]="","",SUMIF(Table1[h_id],pajak[[#This Row],[//]],Table1[h_hargasebelumdiskon]))</f>
        <v>2180900</v>
      </c>
      <c r="J16" s="250">
        <f ca="1">IF(pajak[[#This Row],[//]]="","",SUMIF(Table1[h_id],pajak[[#This Row],[//]],Table1[h_diskon]))</f>
        <v>218090</v>
      </c>
      <c r="K16" s="250">
        <f ca="1">IF(pajak[[#This Row],[//]]="","",SUMIF(Table1[h_id],pajak[[#This Row],[//]],Table1[h_hargasetelahdiskon]))</f>
        <v>1962810</v>
      </c>
      <c r="L16" s="250">
        <f ca="1">IF(pajak[[#This Row],[//]]="","",pajak[[#This Row],[Sub Total]]/1.11*11%)</f>
        <v>194512.70270270266</v>
      </c>
      <c r="M16" s="250">
        <f ca="1">pajak[[#This Row],[Sub Total]]</f>
        <v>1962810</v>
      </c>
      <c r="N16" t="str">
        <f ca="1">IF(pajak[[#This Row],[//]]="","",INDEX(Table1[pembuat nota :],pajak[[#This Row],[//]]-offset))</f>
        <v>RISMA / CONDRO</v>
      </c>
      <c r="O16" t="str">
        <f ca="1">IF(pajak[[#This Row],[//]]="","",IF(INDEX(Table1[edited :],pajak[[#This Row],[//]]-offset)="","",INDEX(Table1[edited :],pajak[[#This Row],[//]]-offset)))</f>
        <v/>
      </c>
      <c r="P16" s="250"/>
      <c r="R16" t="str">
        <f>Table4[[#Headers],[AM]]</f>
        <v>AM</v>
      </c>
      <c r="S16">
        <f t="shared" si="1"/>
        <v>24050012</v>
      </c>
      <c r="T16" s="251">
        <f ca="1">IF(Table4[[#This Row],[AM]]&amp;" "&amp;Table4[[#This Row],[---]]=INDIRECT("pajak[@["&amp;Table4[#Headers]&amp;"]]"),MATCH(Table4[[#This Row],[---]],INDIRECT($3:$3),0))</f>
        <v>1256</v>
      </c>
      <c r="U16" s="251" t="b">
        <f ca="1">IF((INDEX(INDIRECT($3:$3),Table4[[#This Row],[No. Invoice :]]+$2:$2))=INDIRECT("pajak[@["&amp;Table4[#Headers]&amp;"]]"),1)</f>
        <v>0</v>
      </c>
      <c r="V16" s="251">
        <f ca="1">IF((INDEX(INDIRECT($3:$3),Table4[[#This Row],[No. Invoice :]]+$2:$2))=INDIRECT("pajak[@["&amp;Table4[#Headers]&amp;"]]"),1)</f>
        <v>1</v>
      </c>
      <c r="W16" s="251" t="b">
        <f ca="1">IF((INDEX(INDIRECT($3:$3),Table4[[#This Row],[No. Invoice :]]+$2:$2))=INDIRECT("pajak[@["&amp;Table4[#Headers]&amp;"]]"),1)</f>
        <v>0</v>
      </c>
      <c r="X16" s="251">
        <f ca="1">IF((INDEX(INDIRECT($3:$3),Table4[[#This Row],[No. Invoice :]]+$2:$2))=INDIRECT("pajak[@["&amp;Table4[#Headers]&amp;"]]"),1)</f>
        <v>1</v>
      </c>
    </row>
    <row r="17" spans="1:24">
      <c r="A17" s="576">
        <v>96</v>
      </c>
      <c r="D17">
        <f t="shared" ca="1" si="0"/>
        <v>96</v>
      </c>
      <c r="E17" t="str">
        <f ca="1">IF(pajak[[#This Row],[//]]="","",INDEX(Table1[No. Invoice :],pajak[[#This Row],[//]]-offset))</f>
        <v>AM 24050013</v>
      </c>
      <c r="F17" s="249">
        <f ca="1">IF(pajak[[#This Row],[//]]="","",INDEX(Table1[Tgl Invoice :],pajak[[#This Row],[//]]-offset))</f>
        <v>45422</v>
      </c>
      <c r="G17" t="str">
        <f ca="1">IF(pajak[[#This Row],[//]]="","",INDEX(Table1[Kode Sales :],pajak[[#This Row],[//]]-offset))</f>
        <v>KO 4807</v>
      </c>
      <c r="H17" t="str">
        <f ca="1">IF(pajak[[#This Row],[//]]="","",INDEX(Table1[Toko],pajak[[#This Row],[//]]-offset))</f>
        <v>CV SINAR CAHAYA NIRMALA BREBES</v>
      </c>
      <c r="I17" s="250">
        <f ca="1">IF(pajak[[#This Row],[//]]="","",SUMIF(Table1[h_id],pajak[[#This Row],[//]],Table1[h_hargasebelumdiskon]))</f>
        <v>6845600</v>
      </c>
      <c r="J17" s="250">
        <f ca="1">IF(pajak[[#This Row],[//]]="","",SUMIF(Table1[h_id],pajak[[#This Row],[//]],Table1[h_diskon]))</f>
        <v>684560</v>
      </c>
      <c r="K17" s="250">
        <f ca="1">IF(pajak[[#This Row],[//]]="","",SUMIF(Table1[h_id],pajak[[#This Row],[//]],Table1[h_hargasetelahdiskon]))</f>
        <v>6161040</v>
      </c>
      <c r="L17" s="250">
        <f ca="1">IF(pajak[[#This Row],[//]]="","",pajak[[#This Row],[Sub Total]]/1.11*11%)</f>
        <v>610553.51351351349</v>
      </c>
      <c r="M17" s="250">
        <f ca="1">pajak[[#This Row],[Sub Total]]</f>
        <v>6161040</v>
      </c>
      <c r="N17" t="str">
        <f ca="1">IF(pajak[[#This Row],[//]]="","",INDEX(Table1[pembuat nota :],pajak[[#This Row],[//]]-offset))</f>
        <v>RISMA / CONDRO</v>
      </c>
      <c r="O17" t="str">
        <f ca="1">IF(pajak[[#This Row],[//]]="","",IF(INDEX(Table1[edited :],pajak[[#This Row],[//]]-offset)="","",INDEX(Table1[edited :],pajak[[#This Row],[//]]-offset)))</f>
        <v/>
      </c>
      <c r="P17" s="250"/>
      <c r="R17" t="str">
        <f>Table4[[#Headers],[AM]]</f>
        <v>AM</v>
      </c>
      <c r="S17">
        <f t="shared" si="1"/>
        <v>24050013</v>
      </c>
      <c r="T17" s="251">
        <f ca="1">IF(Table4[[#This Row],[AM]]&amp;" "&amp;Table4[[#This Row],[---]]=INDIRECT("pajak[@["&amp;Table4[#Headers]&amp;"]]"),MATCH(Table4[[#This Row],[---]],INDIRECT($3:$3),0))</f>
        <v>1370</v>
      </c>
      <c r="U17" s="251" t="b">
        <f ca="1">IF((INDEX(INDIRECT($3:$3),Table4[[#This Row],[No. Invoice :]]+$2:$2))=INDIRECT("pajak[@["&amp;Table4[#Headers]&amp;"]]"),1)</f>
        <v>0</v>
      </c>
      <c r="V17" s="251">
        <f ca="1">IF((INDEX(INDIRECT($3:$3),Table4[[#This Row],[No. Invoice :]]+$2:$2))=INDIRECT("pajak[@["&amp;Table4[#Headers]&amp;"]]"),1)</f>
        <v>1</v>
      </c>
      <c r="W17" s="251" t="b">
        <f ca="1">IF((INDEX(INDIRECT($3:$3),Table4[[#This Row],[No. Invoice :]]+$2:$2))=INDIRECT("pajak[@["&amp;Table4[#Headers]&amp;"]]"),1)</f>
        <v>0</v>
      </c>
      <c r="X17" s="251">
        <f ca="1">IF((INDEX(INDIRECT($3:$3),Table4[[#This Row],[No. Invoice :]]+$2:$2))=INDIRECT("pajak[@["&amp;Table4[#Headers]&amp;"]]"),1)</f>
        <v>1</v>
      </c>
    </row>
    <row r="18" spans="1:24">
      <c r="A18" s="576">
        <v>106</v>
      </c>
      <c r="D18">
        <f t="shared" ca="1" si="0"/>
        <v>106</v>
      </c>
      <c r="E18" t="str">
        <f ca="1">IF(pajak[[#This Row],[//]]="","",INDEX(Table1[No. Invoice :],pajak[[#This Row],[//]]-offset))</f>
        <v>AM 24050014</v>
      </c>
      <c r="F18" s="249">
        <f ca="1">IF(pajak[[#This Row],[//]]="","",INDEX(Table1[Tgl Invoice :],pajak[[#This Row],[//]]-offset))</f>
        <v>45423</v>
      </c>
      <c r="G18" t="str">
        <f ca="1">IF(pajak[[#This Row],[//]]="","",INDEX(Table1[Kode Sales :],pajak[[#This Row],[//]]-offset))</f>
        <v>KO 4739</v>
      </c>
      <c r="H18" t="str">
        <f ca="1">IF(pajak[[#This Row],[//]]="","",INDEX(Table1[Toko],pajak[[#This Row],[//]]-offset))</f>
        <v>CV PELITA JAYA (ANUGERAH SEJAHTERA) PURWOKERTO</v>
      </c>
      <c r="I18" s="250">
        <f ca="1">IF(pajak[[#This Row],[//]]="","",SUMIF(Table1[h_id],pajak[[#This Row],[//]],Table1[h_hargasebelumdiskon]))</f>
        <v>15508800</v>
      </c>
      <c r="J18" s="250">
        <f ca="1">IF(pajak[[#This Row],[//]]="","",SUMIF(Table1[h_id],pajak[[#This Row],[//]],Table1[h_diskon]))</f>
        <v>2093688</v>
      </c>
      <c r="K18" s="250">
        <f ca="1">IF(pajak[[#This Row],[//]]="","",SUMIF(Table1[h_id],pajak[[#This Row],[//]],Table1[h_hargasetelahdiskon]))</f>
        <v>13415112</v>
      </c>
      <c r="L18" s="250">
        <f ca="1">IF(pajak[[#This Row],[//]]="","",pajak[[#This Row],[Sub Total]]/1.11*11%)</f>
        <v>1329425.5135135134</v>
      </c>
      <c r="M18" s="250">
        <f ca="1">pajak[[#This Row],[Sub Total]]</f>
        <v>13415112</v>
      </c>
      <c r="N18" t="str">
        <f ca="1">IF(pajak[[#This Row],[//]]="","",INDEX(Table1[pembuat nota :],pajak[[#This Row],[//]]-offset))</f>
        <v>NOVI / CONDRO</v>
      </c>
      <c r="O18" t="str">
        <f ca="1">IF(pajak[[#This Row],[//]]="","",IF(INDEX(Table1[edited :],pajak[[#This Row],[//]]-offset)="","",INDEX(Table1[edited :],pajak[[#This Row],[//]]-offset)))</f>
        <v/>
      </c>
      <c r="P18" s="250"/>
      <c r="R18" t="str">
        <f>Table4[[#Headers],[AM]]</f>
        <v>AM</v>
      </c>
      <c r="S18">
        <f t="shared" si="1"/>
        <v>24050014</v>
      </c>
      <c r="T18" s="251">
        <f ca="1">IF(Table4[[#This Row],[AM]]&amp;" "&amp;Table4[[#This Row],[---]]=INDIRECT("pajak[@["&amp;Table4[#Headers]&amp;"]]"),MATCH(Table4[[#This Row],[---]],INDIRECT($3:$3),0))</f>
        <v>1484</v>
      </c>
      <c r="U18" s="251" t="b">
        <f ca="1">IF((INDEX(INDIRECT($3:$3),Table4[[#This Row],[No. Invoice :]]+$2:$2))=INDIRECT("pajak[@["&amp;Table4[#Headers]&amp;"]]"),1)</f>
        <v>0</v>
      </c>
      <c r="V18" s="251" t="b">
        <f ca="1">IF((INDEX(INDIRECT($3:$3),Table4[[#This Row],[No. Invoice :]]+$2:$2))=INDIRECT("pajak[@["&amp;Table4[#Headers]&amp;"]]"),1)</f>
        <v>0</v>
      </c>
      <c r="W18" s="251" t="b">
        <f ca="1">IF((INDEX(INDIRECT($3:$3),Table4[[#This Row],[No. Invoice :]]+$2:$2))=INDIRECT("pajak[@["&amp;Table4[#Headers]&amp;"]]"),1)</f>
        <v>0</v>
      </c>
      <c r="X18" s="251" t="b">
        <f ca="1">IF((INDEX(INDIRECT($3:$3),Table4[[#This Row],[No. Invoice :]]+$2:$2))=INDIRECT("pajak[@["&amp;Table4[#Headers]&amp;"]]"),1)</f>
        <v>0</v>
      </c>
    </row>
    <row r="19" spans="1:24">
      <c r="A19" s="576">
        <v>109</v>
      </c>
      <c r="D19">
        <f t="shared" ca="1" si="0"/>
        <v>109</v>
      </c>
      <c r="E19" t="str">
        <f ca="1">IF(pajak[[#This Row],[//]]="","",INDEX(Table1[No. Invoice :],pajak[[#This Row],[//]]-offset))</f>
        <v>AM 24050015</v>
      </c>
      <c r="F19" s="249">
        <f ca="1">IF(pajak[[#This Row],[//]]="","",INDEX(Table1[Tgl Invoice :],pajak[[#This Row],[//]]-offset))</f>
        <v>45423</v>
      </c>
      <c r="G19" t="str">
        <f ca="1">IF(pajak[[#This Row],[//]]="","",INDEX(Table1[Kode Sales :],pajak[[#This Row],[//]]-offset))</f>
        <v>A 4809</v>
      </c>
      <c r="H19" t="str">
        <f ca="1">IF(pajak[[#This Row],[//]]="","",INDEX(Table1[Toko],pajak[[#This Row],[//]]-offset))</f>
        <v>CV FM 90 KEBUMEN</v>
      </c>
      <c r="I19" s="250">
        <f ca="1">IF(pajak[[#This Row],[//]]="","",SUMIF(Table1[h_id],pajak[[#This Row],[//]],Table1[h_hargasebelumdiskon]))</f>
        <v>4104000</v>
      </c>
      <c r="J19" s="250">
        <f ca="1">IF(pajak[[#This Row],[//]]="","",SUMIF(Table1[h_id],pajak[[#This Row],[//]],Table1[h_diskon]))</f>
        <v>0</v>
      </c>
      <c r="K19" s="250">
        <f ca="1">IF(pajak[[#This Row],[//]]="","",SUMIF(Table1[h_id],pajak[[#This Row],[//]],Table1[h_hargasetelahdiskon]))</f>
        <v>4104000</v>
      </c>
      <c r="L19" s="250">
        <f ca="1">IF(pajak[[#This Row],[//]]="","",pajak[[#This Row],[Sub Total]]/1.11*11%)</f>
        <v>406702.70270270266</v>
      </c>
      <c r="M19" s="250">
        <f ca="1">pajak[[#This Row],[Sub Total]]</f>
        <v>4104000</v>
      </c>
      <c r="N19" t="str">
        <f ca="1">IF(pajak[[#This Row],[//]]="","",INDEX(Table1[pembuat nota :],pajak[[#This Row],[//]]-offset))</f>
        <v>NOVI / CONDRO</v>
      </c>
      <c r="O19" t="str">
        <f ca="1">IF(pajak[[#This Row],[//]]="","",IF(INDEX(Table1[edited :],pajak[[#This Row],[//]]-offset)="","",INDEX(Table1[edited :],pajak[[#This Row],[//]]-offset)))</f>
        <v/>
      </c>
      <c r="P19" s="250"/>
      <c r="R19" t="str">
        <f>Table4[[#Headers],[AM]]</f>
        <v>AM</v>
      </c>
      <c r="S19">
        <f t="shared" si="1"/>
        <v>24050015</v>
      </c>
      <c r="T19" s="251">
        <f ca="1">IF(Table4[[#This Row],[AM]]&amp;" "&amp;Table4[[#This Row],[---]]=INDIRECT("pajak[@["&amp;Table4[#Headers]&amp;"]]"),MATCH(Table4[[#This Row],[---]],INDIRECT($3:$3),0))</f>
        <v>1598</v>
      </c>
      <c r="U19" s="251" t="b">
        <f ca="1">IF((INDEX(INDIRECT($3:$3),Table4[[#This Row],[No. Invoice :]]+$2:$2))=INDIRECT("pajak[@["&amp;Table4[#Headers]&amp;"]]"),1)</f>
        <v>0</v>
      </c>
      <c r="V19" s="251">
        <f ca="1">IF((INDEX(INDIRECT($3:$3),Table4[[#This Row],[No. Invoice :]]+$2:$2))=INDIRECT("pajak[@["&amp;Table4[#Headers]&amp;"]]"),1)</f>
        <v>1</v>
      </c>
      <c r="W19" s="251" t="b">
        <f ca="1">IF((INDEX(INDIRECT($3:$3),Table4[[#This Row],[No. Invoice :]]+$2:$2))=INDIRECT("pajak[@["&amp;Table4[#Headers]&amp;"]]"),1)</f>
        <v>0</v>
      </c>
      <c r="X19" s="251">
        <f ca="1">IF((INDEX(INDIRECT($3:$3),Table4[[#This Row],[No. Invoice :]]+$2:$2))=INDIRECT("pajak[@["&amp;Table4[#Headers]&amp;"]]"),1)</f>
        <v>1</v>
      </c>
    </row>
    <row r="20" spans="1:24">
      <c r="A20" s="576">
        <v>111</v>
      </c>
      <c r="D20">
        <f t="shared" ca="1" si="0"/>
        <v>111</v>
      </c>
      <c r="E20" t="str">
        <f ca="1">IF(pajak[[#This Row],[//]]="","",INDEX(Table1[No. Invoice :],pajak[[#This Row],[//]]-offset))</f>
        <v>AM 24050016</v>
      </c>
      <c r="F20" s="249">
        <f ca="1">IF(pajak[[#This Row],[//]]="","",INDEX(Table1[Tgl Invoice :],pajak[[#This Row],[//]]-offset))</f>
        <v>45423</v>
      </c>
      <c r="G20" t="str">
        <f ca="1">IF(pajak[[#This Row],[//]]="","",INDEX(Table1[Kode Sales :],pajak[[#This Row],[//]]-offset))</f>
        <v>KO 4901</v>
      </c>
      <c r="H20" t="str">
        <f ca="1">IF(pajak[[#This Row],[//]]="","",INDEX(Table1[Toko],pajak[[#This Row],[//]]-offset))</f>
        <v>HARNOYO (BENDAN) PEKALONGAN</v>
      </c>
      <c r="I20" s="250">
        <f ca="1">IF(pajak[[#This Row],[//]]="","",SUMIF(Table1[h_id],pajak[[#This Row],[//]],Table1[h_hargasebelumdiskon]))</f>
        <v>1440000</v>
      </c>
      <c r="J20" s="250">
        <f ca="1">IF(pajak[[#This Row],[//]]="","",SUMIF(Table1[h_id],pajak[[#This Row],[//]],Table1[h_diskon]))</f>
        <v>201600.00000000003</v>
      </c>
      <c r="K20" s="250">
        <f ca="1">IF(pajak[[#This Row],[//]]="","",SUMIF(Table1[h_id],pajak[[#This Row],[//]],Table1[h_hargasetelahdiskon]))</f>
        <v>1238400</v>
      </c>
      <c r="L20" s="250">
        <f ca="1">IF(pajak[[#This Row],[//]]="","",pajak[[#This Row],[Sub Total]]/1.11*11%)</f>
        <v>122724.32432432431</v>
      </c>
      <c r="M20" s="250">
        <f ca="1">pajak[[#This Row],[Sub Total]]</f>
        <v>1238400</v>
      </c>
      <c r="N20" t="str">
        <f ca="1">IF(pajak[[#This Row],[//]]="","",INDEX(Table1[pembuat nota :],pajak[[#This Row],[//]]-offset))</f>
        <v>NOVI / CONDRO</v>
      </c>
      <c r="O20" t="str">
        <f ca="1">IF(pajak[[#This Row],[//]]="","",IF(INDEX(Table1[edited :],pajak[[#This Row],[//]]-offset)="","",INDEX(Table1[edited :],pajak[[#This Row],[//]]-offset)))</f>
        <v/>
      </c>
      <c r="P20" s="250"/>
      <c r="R20" t="str">
        <f>Table4[[#Headers],[AM]]</f>
        <v>AM</v>
      </c>
      <c r="S20">
        <f t="shared" si="1"/>
        <v>24050016</v>
      </c>
      <c r="T20" s="251">
        <f ca="1">IF(Table4[[#This Row],[AM]]&amp;" "&amp;Table4[[#This Row],[---]]=INDIRECT("pajak[@["&amp;Table4[#Headers]&amp;"]]"),MATCH(Table4[[#This Row],[---]],INDIRECT($3:$3),0))</f>
        <v>1712</v>
      </c>
      <c r="U20" s="251" t="b">
        <f ca="1">IF((INDEX(INDIRECT($3:$3),Table4[[#This Row],[No. Invoice :]]+$2:$2))=INDIRECT("pajak[@["&amp;Table4[#Headers]&amp;"]]"),1)</f>
        <v>0</v>
      </c>
      <c r="V20" s="251">
        <f ca="1">IF((INDEX(INDIRECT($3:$3),Table4[[#This Row],[No. Invoice :]]+$2:$2))=INDIRECT("pajak[@["&amp;Table4[#Headers]&amp;"]]"),1)</f>
        <v>1</v>
      </c>
      <c r="W20" s="251" t="b">
        <f ca="1">IF((INDEX(INDIRECT($3:$3),Table4[[#This Row],[No. Invoice :]]+$2:$2))=INDIRECT("pajak[@["&amp;Table4[#Headers]&amp;"]]"),1)</f>
        <v>0</v>
      </c>
      <c r="X20" s="251">
        <f ca="1">IF((INDEX(INDIRECT($3:$3),Table4[[#This Row],[No. Invoice :]]+$2:$2))=INDIRECT("pajak[@["&amp;Table4[#Headers]&amp;"]]"),1)</f>
        <v>1</v>
      </c>
    </row>
    <row r="21" spans="1:24">
      <c r="A21" s="576">
        <v>113</v>
      </c>
      <c r="D21">
        <f t="shared" ca="1" si="0"/>
        <v>113</v>
      </c>
      <c r="E21" t="str">
        <f ca="1">IF(pajak[[#This Row],[//]]="","",INDEX(Table1[No. Invoice :],pajak[[#This Row],[//]]-offset))</f>
        <v>AM 24050017</v>
      </c>
      <c r="F21" s="249">
        <f ca="1">IF(pajak[[#This Row],[//]]="","",INDEX(Table1[Tgl Invoice :],pajak[[#This Row],[//]]-offset))</f>
        <v>45425</v>
      </c>
      <c r="G21" t="str">
        <f ca="1">IF(pajak[[#This Row],[//]]="","",INDEX(Table1[Kode Sales :],pajak[[#This Row],[//]]-offset))</f>
        <v>KO 4913</v>
      </c>
      <c r="H21" t="str">
        <f ca="1">IF(pajak[[#This Row],[//]]="","",INDEX(Table1[Toko],pajak[[#This Row],[//]]-offset))</f>
        <v>CV PELITA JAYA (ANUGERAH SEJAHTERA) PURWOKERTO</v>
      </c>
      <c r="I21" s="250">
        <f ca="1">IF(pajak[[#This Row],[//]]="","",SUMIF(Table1[h_id],pajak[[#This Row],[//]],Table1[h_hargasebelumdiskon]))</f>
        <v>19440000</v>
      </c>
      <c r="J21" s="250">
        <f ca="1">IF(pajak[[#This Row],[//]]="","",SUMIF(Table1[h_id],pajak[[#This Row],[//]],Table1[h_diskon]))</f>
        <v>2624400</v>
      </c>
      <c r="K21" s="250">
        <f ca="1">IF(pajak[[#This Row],[//]]="","",SUMIF(Table1[h_id],pajak[[#This Row],[//]],Table1[h_hargasetelahdiskon]))</f>
        <v>16815600</v>
      </c>
      <c r="L21" s="250">
        <f ca="1">IF(pajak[[#This Row],[//]]="","",pajak[[#This Row],[Sub Total]]/1.11*11%)</f>
        <v>1666410.8108108107</v>
      </c>
      <c r="M21" s="250">
        <f ca="1">pajak[[#This Row],[Sub Total]]</f>
        <v>16815600</v>
      </c>
      <c r="N21" t="str">
        <f ca="1">IF(pajak[[#This Row],[//]]="","",INDEX(Table1[pembuat nota :],pajak[[#This Row],[//]]-offset))</f>
        <v>NOVI / CONDRO</v>
      </c>
      <c r="O21" t="str">
        <f ca="1">IF(pajak[[#This Row],[//]]="","",IF(INDEX(Table1[edited :],pajak[[#This Row],[//]]-offset)="","",INDEX(Table1[edited :],pajak[[#This Row],[//]]-offset)))</f>
        <v/>
      </c>
      <c r="P21" s="250"/>
      <c r="R21" t="str">
        <f>Table4[[#Headers],[AM]]</f>
        <v>AM</v>
      </c>
      <c r="S21">
        <f t="shared" si="1"/>
        <v>24050017</v>
      </c>
      <c r="T21" s="251">
        <f ca="1">IF(Table4[[#This Row],[AM]]&amp;" "&amp;Table4[[#This Row],[---]]=INDIRECT("pajak[@["&amp;Table4[#Headers]&amp;"]]"),MATCH(Table4[[#This Row],[---]],INDIRECT($3:$3),0))</f>
        <v>1826</v>
      </c>
      <c r="U21" s="251" t="b">
        <f ca="1">IF((INDEX(INDIRECT($3:$3),Table4[[#This Row],[No. Invoice :]]+$2:$2))=INDIRECT("pajak[@["&amp;Table4[#Headers]&amp;"]]"),1)</f>
        <v>0</v>
      </c>
      <c r="V21" s="251" t="b">
        <f ca="1">IF((INDEX(INDIRECT($3:$3),Table4[[#This Row],[No. Invoice :]]+$2:$2))=INDIRECT("pajak[@["&amp;Table4[#Headers]&amp;"]]"),1)</f>
        <v>0</v>
      </c>
      <c r="W21" s="251" t="b">
        <f ca="1">IF((INDEX(INDIRECT($3:$3),Table4[[#This Row],[No. Invoice :]]+$2:$2))=INDIRECT("pajak[@["&amp;Table4[#Headers]&amp;"]]"),1)</f>
        <v>0</v>
      </c>
      <c r="X21" s="251">
        <f ca="1">IF((INDEX(INDIRECT($3:$3),Table4[[#This Row],[No. Invoice :]]+$2:$2))=INDIRECT("pajak[@["&amp;Table4[#Headers]&amp;"]]"),1)</f>
        <v>1</v>
      </c>
    </row>
    <row r="22" spans="1:24">
      <c r="A22" s="576">
        <v>115</v>
      </c>
      <c r="B22" s="254"/>
      <c r="D22">
        <f t="shared" ca="1" si="0"/>
        <v>115</v>
      </c>
      <c r="E22" t="str">
        <f ca="1">IF(pajak[[#This Row],[//]]="","",INDEX(Table1[No. Invoice :],pajak[[#This Row],[//]]-offset))</f>
        <v>AM 24050018</v>
      </c>
      <c r="F22" s="249">
        <f ca="1">IF(pajak[[#This Row],[//]]="","",INDEX(Table1[Tgl Invoice :],pajak[[#This Row],[//]]-offset))</f>
        <v>45425</v>
      </c>
      <c r="G22" t="str">
        <f ca="1">IF(pajak[[#This Row],[//]]="","",INDEX(Table1[Kode Sales :],pajak[[#This Row],[//]]-offset))</f>
        <v>KO 4914</v>
      </c>
      <c r="H22" t="str">
        <f ca="1">IF(pajak[[#This Row],[//]]="","",INDEX(Table1[Toko],pajak[[#This Row],[//]]-offset))</f>
        <v>CV SINAR CAHAYA NIRMALA BREBES</v>
      </c>
      <c r="I22" s="250">
        <f ca="1">IF(pajak[[#This Row],[//]]="","",SUMIF(Table1[h_id],pajak[[#This Row],[//]],Table1[h_hargasebelumdiskon]))</f>
        <v>2024100</v>
      </c>
      <c r="J22" s="250">
        <f ca="1">IF(pajak[[#This Row],[//]]="","",SUMIF(Table1[h_id],pajak[[#This Row],[//]],Table1[h_diskon]))</f>
        <v>46410</v>
      </c>
      <c r="K22" s="250">
        <f ca="1">IF(pajak[[#This Row],[//]]="","",SUMIF(Table1[h_id],pajak[[#This Row],[//]],Table1[h_hargasetelahdiskon]))</f>
        <v>1977690</v>
      </c>
      <c r="L22" s="250">
        <f ca="1">IF(pajak[[#This Row],[//]]="","",pajak[[#This Row],[Sub Total]]/1.11*11%)</f>
        <v>195987.29729729728</v>
      </c>
      <c r="M22" s="250">
        <f ca="1">pajak[[#This Row],[Sub Total]]</f>
        <v>1977690</v>
      </c>
      <c r="N22" t="str">
        <f ca="1">IF(pajak[[#This Row],[//]]="","",INDEX(Table1[pembuat nota :],pajak[[#This Row],[//]]-offset))</f>
        <v>NOVI / CONDRO</v>
      </c>
      <c r="O22" t="str">
        <f ca="1">IF(pajak[[#This Row],[//]]="","",IF(INDEX(Table1[edited :],pajak[[#This Row],[//]]-offset)="","",INDEX(Table1[edited :],pajak[[#This Row],[//]]-offset)))</f>
        <v/>
      </c>
      <c r="P22" s="250"/>
      <c r="R22" t="str">
        <f>Table4[[#Headers],[AM]]</f>
        <v>AM</v>
      </c>
      <c r="S22">
        <f t="shared" si="1"/>
        <v>24050018</v>
      </c>
      <c r="T22" s="251">
        <f ca="1">IF(Table4[[#This Row],[AM]]&amp;" "&amp;Table4[[#This Row],[---]]=INDIRECT("pajak[@["&amp;Table4[#Headers]&amp;"]]"),MATCH(Table4[[#This Row],[---]],INDIRECT($3:$3),0))</f>
        <v>1940</v>
      </c>
      <c r="U22" s="251" t="b">
        <f ca="1">IF((INDEX(INDIRECT($3:$3),Table4[[#This Row],[No. Invoice :]]+$2:$2))=INDIRECT("pajak[@["&amp;Table4[#Headers]&amp;"]]"),1)</f>
        <v>0</v>
      </c>
      <c r="V22" s="251">
        <f ca="1">IF((INDEX(INDIRECT($3:$3),Table4[[#This Row],[No. Invoice :]]+$2:$2))=INDIRECT("pajak[@["&amp;Table4[#Headers]&amp;"]]"),1)</f>
        <v>1</v>
      </c>
      <c r="W22" s="251" t="b">
        <f ca="1">IF((INDEX(INDIRECT($3:$3),Table4[[#This Row],[No. Invoice :]]+$2:$2))=INDIRECT("pajak[@["&amp;Table4[#Headers]&amp;"]]"),1)</f>
        <v>0</v>
      </c>
      <c r="X22" s="251">
        <f ca="1">IF((INDEX(INDIRECT($3:$3),Table4[[#This Row],[No. Invoice :]]+$2:$2))=INDIRECT("pajak[@["&amp;Table4[#Headers]&amp;"]]"),1)</f>
        <v>1</v>
      </c>
    </row>
    <row r="23" spans="1:24">
      <c r="A23" s="576">
        <v>124</v>
      </c>
      <c r="D23">
        <f t="shared" ca="1" si="0"/>
        <v>124</v>
      </c>
      <c r="E23" t="str">
        <f ca="1">IF(pajak[[#This Row],[//]]="","",INDEX(Table1[No. Invoice :],pajak[[#This Row],[//]]-offset))</f>
        <v>AM 24050019</v>
      </c>
      <c r="F23" s="249">
        <f ca="1">IF(pajak[[#This Row],[//]]="","",INDEX(Table1[Tgl Invoice :],pajak[[#This Row],[//]]-offset))</f>
        <v>45412</v>
      </c>
      <c r="G23" t="str">
        <f ca="1">IF(pajak[[#This Row],[//]]="","",INDEX(Table1[Kode Sales :],pajak[[#This Row],[//]]-offset))</f>
        <v/>
      </c>
      <c r="H23" t="str">
        <f ca="1">IF(pajak[[#This Row],[//]]="","",INDEX(Table1[Toko],pajak[[#This Row],[//]]-offset))</f>
        <v>0 0 0</v>
      </c>
      <c r="I23" s="250">
        <f ca="1">IF(pajak[[#This Row],[//]]="","",SUMIF(Table1[h_id],pajak[[#This Row],[//]],Table1[h_hargasebelumdiskon]))</f>
        <v>1560000</v>
      </c>
      <c r="J23" s="250">
        <f ca="1">IF(pajak[[#This Row],[//]]="","",SUMIF(Table1[h_id],pajak[[#This Row],[//]],Table1[h_diskon]))</f>
        <v>0</v>
      </c>
      <c r="K23" s="250">
        <f ca="1">IF(pajak[[#This Row],[//]]="","",SUMIF(Table1[h_id],pajak[[#This Row],[//]],Table1[h_hargasetelahdiskon]))</f>
        <v>1560000</v>
      </c>
      <c r="L23" s="250">
        <f ca="1">IF(pajak[[#This Row],[//]]="","",pajak[[#This Row],[Sub Total]]/1.11*11%)</f>
        <v>154594.59459459459</v>
      </c>
      <c r="M23" s="250">
        <f ca="1">pajak[[#This Row],[Sub Total]]</f>
        <v>1560000</v>
      </c>
      <c r="N23">
        <f ca="1">IF(pajak[[#This Row],[//]]="","",INDEX(Table1[pembuat nota :],pajak[[#This Row],[//]]-offset))</f>
        <v>0</v>
      </c>
      <c r="O23" t="str">
        <f ca="1">IF(pajak[[#This Row],[//]]="","",IF(INDEX(Table1[edited :],pajak[[#This Row],[//]]-offset)="","",INDEX(Table1[edited :],pajak[[#This Row],[//]]-offset)))</f>
        <v/>
      </c>
      <c r="P23" s="250"/>
      <c r="R23" t="str">
        <f>Table4[[#Headers],[AM]]</f>
        <v>AM</v>
      </c>
      <c r="S23">
        <f t="shared" si="1"/>
        <v>24050019</v>
      </c>
      <c r="T23" s="251">
        <f ca="1">IF(Table4[[#This Row],[AM]]&amp;" "&amp;Table4[[#This Row],[---]]=INDIRECT("pajak[@["&amp;Table4[#Headers]&amp;"]]"),MATCH(Table4[[#This Row],[---]],INDIRECT($3:$3),0))</f>
        <v>2054</v>
      </c>
      <c r="U23" s="251" t="b">
        <f ca="1">IF((INDEX(INDIRECT($3:$3),Table4[[#This Row],[No. Invoice :]]+$2:$2))=INDIRECT("pajak[@["&amp;Table4[#Headers]&amp;"]]"),1)</f>
        <v>0</v>
      </c>
      <c r="V23" s="251" t="b">
        <f ca="1">IF((INDEX(INDIRECT($3:$3),Table4[[#This Row],[No. Invoice :]]+$2:$2))=INDIRECT("pajak[@["&amp;Table4[#Headers]&amp;"]]"),1)</f>
        <v>0</v>
      </c>
      <c r="W23" s="251" t="b">
        <f ca="1">IF((INDEX(INDIRECT($3:$3),Table4[[#This Row],[No. Invoice :]]+$2:$2))=INDIRECT("pajak[@["&amp;Table4[#Headers]&amp;"]]"),1)</f>
        <v>0</v>
      </c>
      <c r="X23" s="251">
        <f ca="1">IF((INDEX(INDIRECT($3:$3),Table4[[#This Row],[No. Invoice :]]+$2:$2))=INDIRECT("pajak[@["&amp;Table4[#Headers]&amp;"]]"),1)</f>
        <v>1</v>
      </c>
    </row>
    <row r="24" spans="1:24">
      <c r="A24" s="576">
        <v>126</v>
      </c>
      <c r="D24">
        <f t="shared" ca="1" si="0"/>
        <v>126</v>
      </c>
      <c r="E24" t="str">
        <f ca="1">IF(pajak[[#This Row],[//]]="","",INDEX(Table1[No. Invoice :],pajak[[#This Row],[//]]-offset))</f>
        <v>AM 24050020</v>
      </c>
      <c r="F24" s="249">
        <f ca="1">IF(pajak[[#This Row],[//]]="","",INDEX(Table1[Tgl Invoice :],pajak[[#This Row],[//]]-offset))</f>
        <v>45412</v>
      </c>
      <c r="G24" t="str">
        <f ca="1">IF(pajak[[#This Row],[//]]="","",INDEX(Table1[Kode Sales :],pajak[[#This Row],[//]]-offset))</f>
        <v/>
      </c>
      <c r="H24" t="str">
        <f ca="1">IF(pajak[[#This Row],[//]]="","",INDEX(Table1[Toko],pajak[[#This Row],[//]]-offset))</f>
        <v>0 0 0</v>
      </c>
      <c r="I24" s="250">
        <f ca="1">IF(pajak[[#This Row],[//]]="","",SUMIF(Table1[h_id],pajak[[#This Row],[//]],Table1[h_hargasebelumdiskon]))</f>
        <v>0</v>
      </c>
      <c r="J24" s="250">
        <f ca="1">IF(pajak[[#This Row],[//]]="","",SUMIF(Table1[h_id],pajak[[#This Row],[//]],Table1[h_diskon]))</f>
        <v>0</v>
      </c>
      <c r="K24" s="250">
        <f ca="1">IF(pajak[[#This Row],[//]]="","",SUMIF(Table1[h_id],pajak[[#This Row],[//]],Table1[h_hargasetelahdiskon]))</f>
        <v>0</v>
      </c>
      <c r="L24" s="250">
        <f ca="1">IF(pajak[[#This Row],[//]]="","",pajak[[#This Row],[Sub Total]]/1.11*11%)</f>
        <v>0</v>
      </c>
      <c r="M24" s="250">
        <f ca="1">pajak[[#This Row],[Sub Total]]</f>
        <v>0</v>
      </c>
      <c r="N24">
        <f ca="1">IF(pajak[[#This Row],[//]]="","",INDEX(Table1[pembuat nota :],pajak[[#This Row],[//]]-offset))</f>
        <v>0</v>
      </c>
      <c r="O24" t="str">
        <f ca="1">IF(pajak[[#This Row],[//]]="","",IF(INDEX(Table1[edited :],pajak[[#This Row],[//]]-offset)="","",INDEX(Table1[edited :],pajak[[#This Row],[//]]-offset)))</f>
        <v/>
      </c>
      <c r="P24" s="250"/>
      <c r="R24" t="str">
        <f>Table4[[#Headers],[AM]]</f>
        <v>AM</v>
      </c>
      <c r="S24">
        <f t="shared" si="1"/>
        <v>24050020</v>
      </c>
      <c r="T24" s="251">
        <f ca="1">IF(Table4[[#This Row],[AM]]&amp;" "&amp;Table4[[#This Row],[---]]=INDIRECT("pajak[@["&amp;Table4[#Headers]&amp;"]]"),MATCH(Table4[[#This Row],[---]],INDIRECT($3:$3),0))</f>
        <v>2168</v>
      </c>
      <c r="U24" s="251" t="b">
        <f ca="1">IF((INDEX(INDIRECT($3:$3),Table4[[#This Row],[No. Invoice :]]+$2:$2))=INDIRECT("pajak[@["&amp;Table4[#Headers]&amp;"]]"),1)</f>
        <v>0</v>
      </c>
      <c r="V24" s="251" t="b">
        <f ca="1">IF((INDEX(INDIRECT($3:$3),Table4[[#This Row],[No. Invoice :]]+$2:$2))=INDIRECT("pajak[@["&amp;Table4[#Headers]&amp;"]]"),1)</f>
        <v>0</v>
      </c>
      <c r="W24" s="251" t="b">
        <f ca="1">IF((INDEX(INDIRECT($3:$3),Table4[[#This Row],[No. Invoice :]]+$2:$2))=INDIRECT("pajak[@["&amp;Table4[#Headers]&amp;"]]"),1)</f>
        <v>0</v>
      </c>
      <c r="X24" s="251" t="b">
        <f ca="1">IF((INDEX(INDIRECT($3:$3),Table4[[#This Row],[No. Invoice :]]+$2:$2))=INDIRECT("pajak[@["&amp;Table4[#Headers]&amp;"]]"),1)</f>
        <v>0</v>
      </c>
    </row>
    <row r="25" spans="1:24">
      <c r="A25" s="576">
        <v>128</v>
      </c>
      <c r="D25">
        <f t="shared" ca="1" si="0"/>
        <v>128</v>
      </c>
      <c r="E25" t="str">
        <f ca="1">IF(pajak[[#This Row],[//]]="","",INDEX(Table1[No. Invoice :],pajak[[#This Row],[//]]-offset))</f>
        <v>AM 24050021</v>
      </c>
      <c r="F25" s="249">
        <f ca="1">IF(pajak[[#This Row],[//]]="","",INDEX(Table1[Tgl Invoice :],pajak[[#This Row],[//]]-offset))</f>
        <v>45412</v>
      </c>
      <c r="G25" t="str">
        <f ca="1">IF(pajak[[#This Row],[//]]="","",INDEX(Table1[Kode Sales :],pajak[[#This Row],[//]]-offset))</f>
        <v/>
      </c>
      <c r="H25" t="str">
        <f ca="1">IF(pajak[[#This Row],[//]]="","",INDEX(Table1[Toko],pajak[[#This Row],[//]]-offset))</f>
        <v>0 0 0</v>
      </c>
      <c r="I25" s="250">
        <f ca="1">IF(pajak[[#This Row],[//]]="","",SUMIF(Table1[h_id],pajak[[#This Row],[//]],Table1[h_hargasebelumdiskon]))</f>
        <v>0</v>
      </c>
      <c r="J25" s="250">
        <f ca="1">IF(pajak[[#This Row],[//]]="","",SUMIF(Table1[h_id],pajak[[#This Row],[//]],Table1[h_diskon]))</f>
        <v>0</v>
      </c>
      <c r="K25" s="250">
        <f ca="1">IF(pajak[[#This Row],[//]]="","",SUMIF(Table1[h_id],pajak[[#This Row],[//]],Table1[h_hargasetelahdiskon]))</f>
        <v>0</v>
      </c>
      <c r="L25" s="250">
        <f ca="1">IF(pajak[[#This Row],[//]]="","",pajak[[#This Row],[Sub Total]]/1.11*11%)</f>
        <v>0</v>
      </c>
      <c r="M25" s="250">
        <f ca="1">pajak[[#This Row],[Sub Total]]</f>
        <v>0</v>
      </c>
      <c r="N25">
        <f ca="1">IF(pajak[[#This Row],[//]]="","",INDEX(Table1[pembuat nota :],pajak[[#This Row],[//]]-offset))</f>
        <v>0</v>
      </c>
      <c r="O25" t="str">
        <f ca="1">IF(pajak[[#This Row],[//]]="","",IF(INDEX(Table1[edited :],pajak[[#This Row],[//]]-offset)="","",INDEX(Table1[edited :],pajak[[#This Row],[//]]-offset)))</f>
        <v/>
      </c>
      <c r="P25" s="250"/>
      <c r="R25" t="str">
        <f>Table4[[#Headers],[AM]]</f>
        <v>AM</v>
      </c>
      <c r="S25">
        <f t="shared" si="1"/>
        <v>24050021</v>
      </c>
      <c r="T25" s="251">
        <f ca="1">IF(Table4[[#This Row],[AM]]&amp;" "&amp;Table4[[#This Row],[---]]=INDIRECT("pajak[@["&amp;Table4[#Headers]&amp;"]]"),MATCH(Table4[[#This Row],[---]],INDIRECT($3:$3),0))</f>
        <v>2282</v>
      </c>
      <c r="U25" s="251" t="b">
        <f ca="1">IF((INDEX(INDIRECT($3:$3),Table4[[#This Row],[No. Invoice :]]+$2:$2))=INDIRECT("pajak[@["&amp;Table4[#Headers]&amp;"]]"),1)</f>
        <v>0</v>
      </c>
      <c r="V25" s="251" t="b">
        <f ca="1">IF((INDEX(INDIRECT($3:$3),Table4[[#This Row],[No. Invoice :]]+$2:$2))=INDIRECT("pajak[@["&amp;Table4[#Headers]&amp;"]]"),1)</f>
        <v>0</v>
      </c>
      <c r="W25" s="251" t="b">
        <f ca="1">IF((INDEX(INDIRECT($3:$3),Table4[[#This Row],[No. Invoice :]]+$2:$2))=INDIRECT("pajak[@["&amp;Table4[#Headers]&amp;"]]"),1)</f>
        <v>0</v>
      </c>
      <c r="X25" s="251" t="b">
        <f ca="1">IF((INDEX(INDIRECT($3:$3),Table4[[#This Row],[No. Invoice :]]+$2:$2))=INDIRECT("pajak[@["&amp;Table4[#Headers]&amp;"]]"),1)</f>
        <v>0</v>
      </c>
    </row>
    <row r="26" spans="1:24">
      <c r="A26" s="576">
        <v>130</v>
      </c>
      <c r="D26">
        <f t="shared" ca="1" si="0"/>
        <v>130</v>
      </c>
      <c r="E26" t="str">
        <f ca="1">IF(pajak[[#This Row],[//]]="","",INDEX(Table1[No. Invoice :],pajak[[#This Row],[//]]-offset))</f>
        <v>AM 24050022</v>
      </c>
      <c r="F26" s="249">
        <f ca="1">IF(pajak[[#This Row],[//]]="","",INDEX(Table1[Tgl Invoice :],pajak[[#This Row],[//]]-offset))</f>
        <v>45412</v>
      </c>
      <c r="G26" t="str">
        <f ca="1">IF(pajak[[#This Row],[//]]="","",INDEX(Table1[Kode Sales :],pajak[[#This Row],[//]]-offset))</f>
        <v/>
      </c>
      <c r="H26" t="str">
        <f ca="1">IF(pajak[[#This Row],[//]]="","",INDEX(Table1[Toko],pajak[[#This Row],[//]]-offset))</f>
        <v>0 0 0</v>
      </c>
      <c r="I26" s="250">
        <f ca="1">IF(pajak[[#This Row],[//]]="","",SUMIF(Table1[h_id],pajak[[#This Row],[//]],Table1[h_hargasebelumdiskon]))</f>
        <v>0</v>
      </c>
      <c r="J26" s="250">
        <f ca="1">IF(pajak[[#This Row],[//]]="","",SUMIF(Table1[h_id],pajak[[#This Row],[//]],Table1[h_diskon]))</f>
        <v>0</v>
      </c>
      <c r="K26" s="250">
        <f ca="1">IF(pajak[[#This Row],[//]]="","",SUMIF(Table1[h_id],pajak[[#This Row],[//]],Table1[h_hargasetelahdiskon]))</f>
        <v>0</v>
      </c>
      <c r="L26" s="250">
        <f ca="1">IF(pajak[[#This Row],[//]]="","",pajak[[#This Row],[Sub Total]]/1.11*11%)</f>
        <v>0</v>
      </c>
      <c r="M26" s="250">
        <f ca="1">pajak[[#This Row],[Sub Total]]</f>
        <v>0</v>
      </c>
      <c r="N26">
        <f ca="1">IF(pajak[[#This Row],[//]]="","",INDEX(Table1[pembuat nota :],pajak[[#This Row],[//]]-offset))</f>
        <v>0</v>
      </c>
      <c r="O26" t="str">
        <f ca="1">IF(pajak[[#This Row],[//]]="","",IF(INDEX(Table1[edited :],pajak[[#This Row],[//]]-offset)="","",INDEX(Table1[edited :],pajak[[#This Row],[//]]-offset)))</f>
        <v/>
      </c>
      <c r="P26" s="250"/>
      <c r="R26" t="str">
        <f>Table4[[#Headers],[AM]]</f>
        <v>AM</v>
      </c>
      <c r="S26">
        <f t="shared" si="1"/>
        <v>24050022</v>
      </c>
      <c r="T26" s="251">
        <f ca="1">IF(Table4[[#This Row],[AM]]&amp;" "&amp;Table4[[#This Row],[---]]=INDIRECT("pajak[@["&amp;Table4[#Headers]&amp;"]]"),MATCH(Table4[[#This Row],[---]],INDIRECT($3:$3),0))</f>
        <v>2396</v>
      </c>
      <c r="U26" s="251" t="b">
        <f ca="1">IF((INDEX(INDIRECT($3:$3),Table4[[#This Row],[No. Invoice :]]+$2:$2))=INDIRECT("pajak[@["&amp;Table4[#Headers]&amp;"]]"),1)</f>
        <v>0</v>
      </c>
      <c r="V26" s="251" t="b">
        <f ca="1">IF((INDEX(INDIRECT($3:$3),Table4[[#This Row],[No. Invoice :]]+$2:$2))=INDIRECT("pajak[@["&amp;Table4[#Headers]&amp;"]]"),1)</f>
        <v>0</v>
      </c>
      <c r="W26" s="251" t="b">
        <f ca="1">IF((INDEX(INDIRECT($3:$3),Table4[[#This Row],[No. Invoice :]]+$2:$2))=INDIRECT("pajak[@["&amp;Table4[#Headers]&amp;"]]"),1)</f>
        <v>0</v>
      </c>
      <c r="X26" s="251" t="b">
        <f ca="1">IF((INDEX(INDIRECT($3:$3),Table4[[#This Row],[No. Invoice :]]+$2:$2))=INDIRECT("pajak[@["&amp;Table4[#Headers]&amp;"]]"),1)</f>
        <v>0</v>
      </c>
    </row>
    <row r="27" spans="1:24">
      <c r="A27" s="576">
        <v>133</v>
      </c>
      <c r="D27">
        <f t="shared" ca="1" si="0"/>
        <v>133</v>
      </c>
      <c r="E27" t="str">
        <f ca="1">IF(pajak[[#This Row],[//]]="","",INDEX(Table1[No. Invoice :],pajak[[#This Row],[//]]-offset))</f>
        <v>AM 24050023</v>
      </c>
      <c r="F27" s="249">
        <f ca="1">IF(pajak[[#This Row],[//]]="","",INDEX(Table1[Tgl Invoice :],pajak[[#This Row],[//]]-offset))</f>
        <v>45430</v>
      </c>
      <c r="G27" t="str">
        <f ca="1">IF(pajak[[#This Row],[//]]="","",INDEX(Table1[Kode Sales :],pajak[[#This Row],[//]]-offset))</f>
        <v>KO 4949</v>
      </c>
      <c r="H27" t="str">
        <f ca="1">IF(pajak[[#This Row],[//]]="","",INDEX(Table1[Toko],pajak[[#This Row],[//]]-offset))</f>
        <v>SANTOSO BUDIONO (  ARMADA  ) PURWOKERTO</v>
      </c>
      <c r="I27" s="250">
        <f ca="1">IF(pajak[[#This Row],[//]]="","",SUMIF(Table1[h_id],pajak[[#This Row],[//]],Table1[h_hargasebelumdiskon]))</f>
        <v>4522000</v>
      </c>
      <c r="J27" s="250">
        <f ca="1">IF(pajak[[#This Row],[//]]="","",SUMIF(Table1[h_id],pajak[[#This Row],[//]],Table1[h_diskon]))</f>
        <v>565250</v>
      </c>
      <c r="K27" s="250">
        <f ca="1">IF(pajak[[#This Row],[//]]="","",SUMIF(Table1[h_id],pajak[[#This Row],[//]],Table1[h_hargasetelahdiskon]))</f>
        <v>3956750</v>
      </c>
      <c r="L27" s="250">
        <f ca="1">IF(pajak[[#This Row],[//]]="","",pajak[[#This Row],[Sub Total]]/1.11*11%)</f>
        <v>392110.3603603603</v>
      </c>
      <c r="M27" s="250">
        <f ca="1">pajak[[#This Row],[Sub Total]]</f>
        <v>3956750</v>
      </c>
      <c r="N27" t="str">
        <f ca="1">IF(pajak[[#This Row],[//]]="","",INDEX(Table1[pembuat nota :],pajak[[#This Row],[//]]-offset))</f>
        <v>NOVI / CONDRO</v>
      </c>
      <c r="O27" t="str">
        <f ca="1">IF(pajak[[#This Row],[//]]="","",IF(INDEX(Table1[edited :],pajak[[#This Row],[//]]-offset)="","",INDEX(Table1[edited :],pajak[[#This Row],[//]]-offset)))</f>
        <v/>
      </c>
      <c r="P27" s="250"/>
      <c r="R27" t="str">
        <f>Table4[[#Headers],[AM]]</f>
        <v>AM</v>
      </c>
      <c r="S27">
        <f t="shared" si="1"/>
        <v>24050023</v>
      </c>
      <c r="T27" s="251">
        <f ca="1">IF(Table4[[#This Row],[AM]]&amp;" "&amp;Table4[[#This Row],[---]]=INDIRECT("pajak[@["&amp;Table4[#Headers]&amp;"]]"),MATCH(Table4[[#This Row],[---]],INDIRECT($3:$3),0))</f>
        <v>2510</v>
      </c>
      <c r="U27" s="251" t="b">
        <f ca="1">IF((INDEX(INDIRECT($3:$3),Table4[[#This Row],[No. Invoice :]]+$2:$2))=INDIRECT("pajak[@["&amp;Table4[#Headers]&amp;"]]"),1)</f>
        <v>0</v>
      </c>
      <c r="V27" s="251" t="b">
        <f ca="1">IF((INDEX(INDIRECT($3:$3),Table4[[#This Row],[No. Invoice :]]+$2:$2))=INDIRECT("pajak[@["&amp;Table4[#Headers]&amp;"]]"),1)</f>
        <v>0</v>
      </c>
      <c r="W27" s="251" t="b">
        <f ca="1">IF((INDEX(INDIRECT($3:$3),Table4[[#This Row],[No. Invoice :]]+$2:$2))=INDIRECT("pajak[@["&amp;Table4[#Headers]&amp;"]]"),1)</f>
        <v>0</v>
      </c>
      <c r="X27" s="251">
        <f ca="1">IF((INDEX(INDIRECT($3:$3),Table4[[#This Row],[No. Invoice :]]+$2:$2))=INDIRECT("pajak[@["&amp;Table4[#Headers]&amp;"]]"),1)</f>
        <v>1</v>
      </c>
    </row>
    <row r="28" spans="1:24">
      <c r="A28" s="576">
        <v>139</v>
      </c>
      <c r="D28">
        <f t="shared" ca="1" si="0"/>
        <v>139</v>
      </c>
      <c r="E28" t="str">
        <f ca="1">IF(pajak[[#This Row],[//]]="","",INDEX(Table1[No. Invoice :],pajak[[#This Row],[//]]-offset))</f>
        <v>AM 24050024</v>
      </c>
      <c r="F28" s="249">
        <f ca="1">IF(pajak[[#This Row],[//]]="","",INDEX(Table1[Tgl Invoice :],pajak[[#This Row],[//]]-offset))</f>
        <v>45433</v>
      </c>
      <c r="G28" t="str">
        <f ca="1">IF(pajak[[#This Row],[//]]="","",INDEX(Table1[Kode Sales :],pajak[[#This Row],[//]]-offset))</f>
        <v>KO 4957</v>
      </c>
      <c r="H28" t="str">
        <f ca="1">IF(pajak[[#This Row],[//]]="","",INDEX(Table1[Toko],pajak[[#This Row],[//]]-offset))</f>
        <v>CV PELITA JAYA (ANUGERAH SEJAHTERA) PURWOKERTO</v>
      </c>
      <c r="I28" s="250">
        <f ca="1">IF(pajak[[#This Row],[//]]="","",SUMIF(Table1[h_id],pajak[[#This Row],[//]],Table1[h_hargasebelumdiskon]))</f>
        <v>8899200</v>
      </c>
      <c r="J28" s="250">
        <f ca="1">IF(pajak[[#This Row],[//]]="","",SUMIF(Table1[h_id],pajak[[#This Row],[//]],Table1[h_diskon]))</f>
        <v>1201392</v>
      </c>
      <c r="K28" s="250">
        <f ca="1">IF(pajak[[#This Row],[//]]="","",SUMIF(Table1[h_id],pajak[[#This Row],[//]],Table1[h_hargasetelahdiskon]))</f>
        <v>7697808</v>
      </c>
      <c r="L28" s="250">
        <f ca="1">IF(pajak[[#This Row],[//]]="","",pajak[[#This Row],[Sub Total]]/1.11*11%)</f>
        <v>762845.83783783775</v>
      </c>
      <c r="M28" s="250">
        <f ca="1">pajak[[#This Row],[Sub Total]]</f>
        <v>7697808</v>
      </c>
      <c r="N28" t="str">
        <f ca="1">IF(pajak[[#This Row],[//]]="","",INDEX(Table1[pembuat nota :],pajak[[#This Row],[//]]-offset))</f>
        <v>NOVI / CONDRO</v>
      </c>
      <c r="O28" t="str">
        <f ca="1">IF(pajak[[#This Row],[//]]="","",IF(INDEX(Table1[edited :],pajak[[#This Row],[//]]-offset)="","",INDEX(Table1[edited :],pajak[[#This Row],[//]]-offset)))</f>
        <v/>
      </c>
      <c r="P28" s="250"/>
      <c r="R28" t="str">
        <f>Table4[[#Headers],[AM]]</f>
        <v>AM</v>
      </c>
      <c r="S28">
        <f t="shared" si="1"/>
        <v>24050024</v>
      </c>
      <c r="T28" s="251">
        <f ca="1">IF(Table4[[#This Row],[AM]]&amp;" "&amp;Table4[[#This Row],[---]]=INDIRECT("pajak[@["&amp;Table4[#Headers]&amp;"]]"),MATCH(Table4[[#This Row],[---]],INDIRECT($3:$3),0))</f>
        <v>2624</v>
      </c>
      <c r="U28" s="251">
        <f ca="1">IF((INDEX(INDIRECT($3:$3),Table4[[#This Row],[No. Invoice :]]+$2:$2))=INDIRECT("pajak[@["&amp;Table4[#Headers]&amp;"]]"),1)</f>
        <v>1</v>
      </c>
      <c r="V28" s="251">
        <f ca="1">IF((INDEX(INDIRECT($3:$3),Table4[[#This Row],[No. Invoice :]]+$2:$2))=INDIRECT("pajak[@["&amp;Table4[#Headers]&amp;"]]"),1)</f>
        <v>1</v>
      </c>
      <c r="W28" s="251">
        <f ca="1">IF((INDEX(INDIRECT($3:$3),Table4[[#This Row],[No. Invoice :]]+$2:$2))=INDIRECT("pajak[@["&amp;Table4[#Headers]&amp;"]]"),1)</f>
        <v>1</v>
      </c>
      <c r="X28" s="251" t="b">
        <f ca="1">IF((INDEX(INDIRECT($3:$3),Table4[[#This Row],[No. Invoice :]]+$2:$2))=INDIRECT("pajak[@["&amp;Table4[#Headers]&amp;"]]"),1)</f>
        <v>0</v>
      </c>
    </row>
    <row r="29" spans="1:24">
      <c r="A29" s="576">
        <v>141</v>
      </c>
      <c r="D29">
        <f t="shared" ca="1" si="0"/>
        <v>141</v>
      </c>
      <c r="E29" t="str">
        <f ca="1">IF(pajak[[#This Row],[//]]="","",INDEX(Table1[No. Invoice :],pajak[[#This Row],[//]]-offset))</f>
        <v>AM 24050025</v>
      </c>
      <c r="F29" s="249">
        <f ca="1">IF(pajak[[#This Row],[//]]="","",INDEX(Table1[Tgl Invoice :],pajak[[#This Row],[//]]-offset))</f>
        <v>45412</v>
      </c>
      <c r="G29" t="str">
        <f ca="1">IF(pajak[[#This Row],[//]]="","",INDEX(Table1[Kode Sales :],pajak[[#This Row],[//]]-offset))</f>
        <v/>
      </c>
      <c r="H29" t="str">
        <f ca="1">IF(pajak[[#This Row],[//]]="","",INDEX(Table1[Toko],pajak[[#This Row],[//]]-offset))</f>
        <v>0 0 0</v>
      </c>
      <c r="I29" s="250">
        <f ca="1">IF(pajak[[#This Row],[//]]="","",SUMIF(Table1[h_id],pajak[[#This Row],[//]],Table1[h_hargasebelumdiskon]))</f>
        <v>0</v>
      </c>
      <c r="J29" s="250">
        <f ca="1">IF(pajak[[#This Row],[//]]="","",SUMIF(Table1[h_id],pajak[[#This Row],[//]],Table1[h_diskon]))</f>
        <v>0</v>
      </c>
      <c r="K29" s="250">
        <f ca="1">IF(pajak[[#This Row],[//]]="","",SUMIF(Table1[h_id],pajak[[#This Row],[//]],Table1[h_hargasetelahdiskon]))</f>
        <v>0</v>
      </c>
      <c r="L29" s="250">
        <f ca="1">IF(pajak[[#This Row],[//]]="","",pajak[[#This Row],[Sub Total]]/1.11*11%)</f>
        <v>0</v>
      </c>
      <c r="M29" s="250">
        <f ca="1">pajak[[#This Row],[Sub Total]]</f>
        <v>0</v>
      </c>
      <c r="N29">
        <f ca="1">IF(pajak[[#This Row],[//]]="","",INDEX(Table1[pembuat nota :],pajak[[#This Row],[//]]-offset))</f>
        <v>0</v>
      </c>
      <c r="O29" t="str">
        <f ca="1">IF(pajak[[#This Row],[//]]="","",IF(INDEX(Table1[edited :],pajak[[#This Row],[//]]-offset)="","",INDEX(Table1[edited :],pajak[[#This Row],[//]]-offset)))</f>
        <v/>
      </c>
      <c r="P29" s="250"/>
      <c r="R29" t="str">
        <f>Table4[[#Headers],[AM]]</f>
        <v>AM</v>
      </c>
      <c r="S29">
        <f t="shared" si="1"/>
        <v>24050025</v>
      </c>
      <c r="T29" s="251">
        <f ca="1">IF(Table4[[#This Row],[AM]]&amp;" "&amp;Table4[[#This Row],[---]]=INDIRECT("pajak[@["&amp;Table4[#Headers]&amp;"]]"),MATCH(Table4[[#This Row],[---]],INDIRECT($3:$3),0))</f>
        <v>2738</v>
      </c>
      <c r="U29" s="251" t="b">
        <f ca="1">IF((INDEX(INDIRECT($3:$3),Table4[[#This Row],[No. Invoice :]]+$2:$2))=INDIRECT("pajak[@["&amp;Table4[#Headers]&amp;"]]"),1)</f>
        <v>0</v>
      </c>
      <c r="V29" s="251" t="b">
        <f ca="1">IF((INDEX(INDIRECT($3:$3),Table4[[#This Row],[No. Invoice :]]+$2:$2))=INDIRECT("pajak[@["&amp;Table4[#Headers]&amp;"]]"),1)</f>
        <v>0</v>
      </c>
      <c r="W29" s="251" t="b">
        <f ca="1">IF((INDEX(INDIRECT($3:$3),Table4[[#This Row],[No. Invoice :]]+$2:$2))=INDIRECT("pajak[@["&amp;Table4[#Headers]&amp;"]]"),1)</f>
        <v>0</v>
      </c>
      <c r="X29" s="251" t="b">
        <f ca="1">IF((INDEX(INDIRECT($3:$3),Table4[[#This Row],[No. Invoice :]]+$2:$2))=INDIRECT("pajak[@["&amp;Table4[#Headers]&amp;"]]"),1)</f>
        <v>0</v>
      </c>
    </row>
    <row r="30" spans="1:24">
      <c r="A30" s="576">
        <v>142</v>
      </c>
      <c r="D30">
        <f t="shared" ca="1" si="0"/>
        <v>142</v>
      </c>
      <c r="E30" t="str">
        <f ca="1">IF(pajak[[#This Row],[//]]="","",INDEX(Table1[No. Invoice :],pajak[[#This Row],[//]]-offset))</f>
        <v>AM 24050026</v>
      </c>
      <c r="F30" s="249">
        <f ca="1">IF(pajak[[#This Row],[//]]="","",INDEX(Table1[Tgl Invoice :],pajak[[#This Row],[//]]-offset))</f>
        <v>45412</v>
      </c>
      <c r="G30" t="str">
        <f ca="1">IF(pajak[[#This Row],[//]]="","",INDEX(Table1[Kode Sales :],pajak[[#This Row],[//]]-offset))</f>
        <v/>
      </c>
      <c r="H30" t="str">
        <f ca="1">IF(pajak[[#This Row],[//]]="","",INDEX(Table1[Toko],pajak[[#This Row],[//]]-offset))</f>
        <v>0 0 0</v>
      </c>
      <c r="I30" s="250">
        <f ca="1">IF(pajak[[#This Row],[//]]="","",SUMIF(Table1[h_id],pajak[[#This Row],[//]],Table1[h_hargasebelumdiskon]))</f>
        <v>0</v>
      </c>
      <c r="J30" s="250">
        <f ca="1">IF(pajak[[#This Row],[//]]="","",SUMIF(Table1[h_id],pajak[[#This Row],[//]],Table1[h_diskon]))</f>
        <v>0</v>
      </c>
      <c r="K30" s="250">
        <f ca="1">IF(pajak[[#This Row],[//]]="","",SUMIF(Table1[h_id],pajak[[#This Row],[//]],Table1[h_hargasetelahdiskon]))</f>
        <v>0</v>
      </c>
      <c r="L30" s="250">
        <f ca="1">IF(pajak[[#This Row],[//]]="","",pajak[[#This Row],[Sub Total]]/1.11*11%)</f>
        <v>0</v>
      </c>
      <c r="M30" s="250">
        <f ca="1">pajak[[#This Row],[Sub Total]]</f>
        <v>0</v>
      </c>
      <c r="N30">
        <f ca="1">IF(pajak[[#This Row],[//]]="","",INDEX(Table1[pembuat nota :],pajak[[#This Row],[//]]-offset))</f>
        <v>0</v>
      </c>
      <c r="O30" t="str">
        <f ca="1">IF(pajak[[#This Row],[//]]="","",IF(INDEX(Table1[edited :],pajak[[#This Row],[//]]-offset)="","",INDEX(Table1[edited :],pajak[[#This Row],[//]]-offset)))</f>
        <v/>
      </c>
      <c r="P30" s="250"/>
      <c r="R30" t="str">
        <f>Table4[[#Headers],[AM]]</f>
        <v>AM</v>
      </c>
      <c r="S30">
        <f t="shared" si="1"/>
        <v>24050026</v>
      </c>
      <c r="T30" s="251">
        <f ca="1">IF(Table4[[#This Row],[AM]]&amp;" "&amp;Table4[[#This Row],[---]]=INDIRECT("pajak[@["&amp;Table4[#Headers]&amp;"]]"),MATCH(Table4[[#This Row],[---]],INDIRECT($3:$3),0))</f>
        <v>2852</v>
      </c>
      <c r="U30" s="251" t="b">
        <f ca="1">IF((INDEX(INDIRECT($3:$3),Table4[[#This Row],[No. Invoice :]]+$2:$2))=INDIRECT("pajak[@["&amp;Table4[#Headers]&amp;"]]"),1)</f>
        <v>0</v>
      </c>
      <c r="V30" s="251" t="b">
        <f ca="1">IF((INDEX(INDIRECT($3:$3),Table4[[#This Row],[No. Invoice :]]+$2:$2))=INDIRECT("pajak[@["&amp;Table4[#Headers]&amp;"]]"),1)</f>
        <v>0</v>
      </c>
      <c r="W30" s="251" t="b">
        <f ca="1">IF((INDEX(INDIRECT($3:$3),Table4[[#This Row],[No. Invoice :]]+$2:$2))=INDIRECT("pajak[@["&amp;Table4[#Headers]&amp;"]]"),1)</f>
        <v>0</v>
      </c>
      <c r="X30" s="251" t="b">
        <f ca="1">IF((INDEX(INDIRECT($3:$3),Table4[[#This Row],[No. Invoice :]]+$2:$2))=INDIRECT("pajak[@["&amp;Table4[#Headers]&amp;"]]"),1)</f>
        <v>0</v>
      </c>
    </row>
    <row r="31" spans="1:24">
      <c r="A31" s="576">
        <v>143</v>
      </c>
      <c r="D31">
        <f t="shared" ca="1" si="0"/>
        <v>143</v>
      </c>
      <c r="E31" t="str">
        <f ca="1">IF(pajak[[#This Row],[//]]="","",INDEX(Table1[No. Invoice :],pajak[[#This Row],[//]]-offset))</f>
        <v>AM 24050027</v>
      </c>
      <c r="F31" s="249">
        <f ca="1">IF(pajak[[#This Row],[//]]="","",INDEX(Table1[Tgl Invoice :],pajak[[#This Row],[//]]-offset))</f>
        <v>45412</v>
      </c>
      <c r="G31" t="str">
        <f ca="1">IF(pajak[[#This Row],[//]]="","",INDEX(Table1[Kode Sales :],pajak[[#This Row],[//]]-offset))</f>
        <v/>
      </c>
      <c r="H31" t="str">
        <f ca="1">IF(pajak[[#This Row],[//]]="","",INDEX(Table1[Toko],pajak[[#This Row],[//]]-offset))</f>
        <v>0 0 0</v>
      </c>
      <c r="I31" s="250">
        <f ca="1">IF(pajak[[#This Row],[//]]="","",SUMIF(Table1[h_id],pajak[[#This Row],[//]],Table1[h_hargasebelumdiskon]))</f>
        <v>0</v>
      </c>
      <c r="J31" s="250">
        <f ca="1">IF(pajak[[#This Row],[//]]="","",SUMIF(Table1[h_id],pajak[[#This Row],[//]],Table1[h_diskon]))</f>
        <v>0</v>
      </c>
      <c r="K31" s="250">
        <f ca="1">IF(pajak[[#This Row],[//]]="","",SUMIF(Table1[h_id],pajak[[#This Row],[//]],Table1[h_hargasetelahdiskon]))</f>
        <v>0</v>
      </c>
      <c r="L31" s="250">
        <f ca="1">IF(pajak[[#This Row],[//]]="","",pajak[[#This Row],[Sub Total]]/1.11*11%)</f>
        <v>0</v>
      </c>
      <c r="M31" s="250">
        <f ca="1">pajak[[#This Row],[Sub Total]]</f>
        <v>0</v>
      </c>
      <c r="N31">
        <f ca="1">IF(pajak[[#This Row],[//]]="","",INDEX(Table1[pembuat nota :],pajak[[#This Row],[//]]-offset))</f>
        <v>0</v>
      </c>
      <c r="O31" t="str">
        <f ca="1">IF(pajak[[#This Row],[//]]="","",IF(INDEX(Table1[edited :],pajak[[#This Row],[//]]-offset)="","",INDEX(Table1[edited :],pajak[[#This Row],[//]]-offset)))</f>
        <v/>
      </c>
      <c r="P31" s="250"/>
      <c r="R31" t="str">
        <f>Table4[[#Headers],[AM]]</f>
        <v>AM</v>
      </c>
      <c r="S31">
        <f t="shared" si="1"/>
        <v>24050027</v>
      </c>
      <c r="T31" s="251">
        <f ca="1">IF(Table4[[#This Row],[AM]]&amp;" "&amp;Table4[[#This Row],[---]]=INDIRECT("pajak[@["&amp;Table4[#Headers]&amp;"]]"),MATCH(Table4[[#This Row],[---]],INDIRECT($3:$3),0))</f>
        <v>2966</v>
      </c>
      <c r="U31" s="251" t="b">
        <f ca="1">IF((INDEX(INDIRECT($3:$3),Table4[[#This Row],[No. Invoice :]]+$2:$2))=INDIRECT("pajak[@["&amp;Table4[#Headers]&amp;"]]"),1)</f>
        <v>0</v>
      </c>
      <c r="V31" s="251" t="b">
        <f ca="1">IF((INDEX(INDIRECT($3:$3),Table4[[#This Row],[No. Invoice :]]+$2:$2))=INDIRECT("pajak[@["&amp;Table4[#Headers]&amp;"]]"),1)</f>
        <v>0</v>
      </c>
      <c r="W31" s="251" t="b">
        <f ca="1">IF((INDEX(INDIRECT($3:$3),Table4[[#This Row],[No. Invoice :]]+$2:$2))=INDIRECT("pajak[@["&amp;Table4[#Headers]&amp;"]]"),1)</f>
        <v>0</v>
      </c>
      <c r="X31" s="251" t="b">
        <f ca="1">IF((INDEX(INDIRECT($3:$3),Table4[[#This Row],[No. Invoice :]]+$2:$2))=INDIRECT("pajak[@["&amp;Table4[#Headers]&amp;"]]"),1)</f>
        <v>0</v>
      </c>
    </row>
    <row r="32" spans="1:24">
      <c r="A32" s="576">
        <v>144</v>
      </c>
      <c r="D32">
        <f t="shared" ca="1" si="0"/>
        <v>144</v>
      </c>
      <c r="E32" t="str">
        <f ca="1">IF(pajak[[#This Row],[//]]="","",INDEX(Table1[No. Invoice :],pajak[[#This Row],[//]]-offset))</f>
        <v>AM 24050028</v>
      </c>
      <c r="F32" s="249">
        <f ca="1">IF(pajak[[#This Row],[//]]="","",INDEX(Table1[Tgl Invoice :],pajak[[#This Row],[//]]-offset))</f>
        <v>45412</v>
      </c>
      <c r="G32" t="str">
        <f ca="1">IF(pajak[[#This Row],[//]]="","",INDEX(Table1[Kode Sales :],pajak[[#This Row],[//]]-offset))</f>
        <v/>
      </c>
      <c r="H32" t="str">
        <f ca="1">IF(pajak[[#This Row],[//]]="","",INDEX(Table1[Toko],pajak[[#This Row],[//]]-offset))</f>
        <v>0 0 0</v>
      </c>
      <c r="I32" s="250">
        <f ca="1">IF(pajak[[#This Row],[//]]="","",SUMIF(Table1[h_id],pajak[[#This Row],[//]],Table1[h_hargasebelumdiskon]))</f>
        <v>0</v>
      </c>
      <c r="J32" s="250">
        <f ca="1">IF(pajak[[#This Row],[//]]="","",SUMIF(Table1[h_id],pajak[[#This Row],[//]],Table1[h_diskon]))</f>
        <v>0</v>
      </c>
      <c r="K32" s="250">
        <f ca="1">IF(pajak[[#This Row],[//]]="","",SUMIF(Table1[h_id],pajak[[#This Row],[//]],Table1[h_hargasetelahdiskon]))</f>
        <v>0</v>
      </c>
      <c r="L32" s="250">
        <f ca="1">IF(pajak[[#This Row],[//]]="","",pajak[[#This Row],[Sub Total]]/1.11*11%)</f>
        <v>0</v>
      </c>
      <c r="M32" s="250">
        <f ca="1">pajak[[#This Row],[Sub Total]]</f>
        <v>0</v>
      </c>
      <c r="N32">
        <f ca="1">IF(pajak[[#This Row],[//]]="","",INDEX(Table1[pembuat nota :],pajak[[#This Row],[//]]-offset))</f>
        <v>0</v>
      </c>
      <c r="O32" t="str">
        <f ca="1">IF(pajak[[#This Row],[//]]="","",IF(INDEX(Table1[edited :],pajak[[#This Row],[//]]-offset)="","",INDEX(Table1[edited :],pajak[[#This Row],[//]]-offset)))</f>
        <v/>
      </c>
      <c r="P32" s="250"/>
      <c r="R32" t="str">
        <f>Table4[[#Headers],[AM]]</f>
        <v>AM</v>
      </c>
      <c r="S32">
        <f t="shared" si="1"/>
        <v>24050028</v>
      </c>
      <c r="T32" s="251">
        <f ca="1">IF(Table4[[#This Row],[AM]]&amp;" "&amp;Table4[[#This Row],[---]]=INDIRECT("pajak[@["&amp;Table4[#Headers]&amp;"]]"),MATCH(Table4[[#This Row],[---]],INDIRECT($3:$3),0))</f>
        <v>3080</v>
      </c>
      <c r="U32" s="251" t="b">
        <f ca="1">IF((INDEX(INDIRECT($3:$3),Table4[[#This Row],[No. Invoice :]]+$2:$2))=INDIRECT("pajak[@["&amp;Table4[#Headers]&amp;"]]"),1)</f>
        <v>0</v>
      </c>
      <c r="V32" s="251" t="b">
        <f ca="1">IF((INDEX(INDIRECT($3:$3),Table4[[#This Row],[No. Invoice :]]+$2:$2))=INDIRECT("pajak[@["&amp;Table4[#Headers]&amp;"]]"),1)</f>
        <v>0</v>
      </c>
      <c r="W32" s="251" t="b">
        <f ca="1">IF((INDEX(INDIRECT($3:$3),Table4[[#This Row],[No. Invoice :]]+$2:$2))=INDIRECT("pajak[@["&amp;Table4[#Headers]&amp;"]]"),1)</f>
        <v>0</v>
      </c>
      <c r="X32" s="251" t="b">
        <f ca="1">IF((INDEX(INDIRECT($3:$3),Table4[[#This Row],[No. Invoice :]]+$2:$2))=INDIRECT("pajak[@["&amp;Table4[#Headers]&amp;"]]"),1)</f>
        <v>0</v>
      </c>
    </row>
    <row r="33" spans="1:24">
      <c r="A33" s="576">
        <v>150</v>
      </c>
      <c r="D33">
        <f t="shared" ca="1" si="0"/>
        <v>150</v>
      </c>
      <c r="E33" t="str">
        <f ca="1">IF(pajak[[#This Row],[//]]="","",INDEX(Table1[No. Invoice :],pajak[[#This Row],[//]]-offset))</f>
        <v>AM 24050029</v>
      </c>
      <c r="F33" s="249">
        <f ca="1">IF(pajak[[#This Row],[//]]="","",INDEX(Table1[Tgl Invoice :],pajak[[#This Row],[//]]-offset))</f>
        <v>45436</v>
      </c>
      <c r="G33" t="str">
        <f ca="1">IF(pajak[[#This Row],[//]]="","",INDEX(Table1[Kode Sales :],pajak[[#This Row],[//]]-offset))</f>
        <v>KO 4979</v>
      </c>
      <c r="H33" t="str">
        <f ca="1">IF(pajak[[#This Row],[//]]="","",INDEX(Table1[Toko],pajak[[#This Row],[//]]-offset))</f>
        <v>CV SINAR CAHAYA NIRMALA BREBES</v>
      </c>
      <c r="I33" s="250">
        <f ca="1">IF(pajak[[#This Row],[//]]="","",SUMIF(Table1[h_id],pajak[[#This Row],[//]],Table1[h_hargasebelumdiskon]))</f>
        <v>2019600</v>
      </c>
      <c r="J33" s="250">
        <f ca="1">IF(pajak[[#This Row],[//]]="","",SUMIF(Table1[h_id],pajak[[#This Row],[//]],Table1[h_diskon]))</f>
        <v>201960</v>
      </c>
      <c r="K33" s="250">
        <f ca="1">IF(pajak[[#This Row],[//]]="","",SUMIF(Table1[h_id],pajak[[#This Row],[//]],Table1[h_hargasetelahdiskon]))</f>
        <v>1817640</v>
      </c>
      <c r="L33" s="250">
        <f ca="1">IF(pajak[[#This Row],[//]]="","",pajak[[#This Row],[Sub Total]]/1.11*11%)</f>
        <v>180126.48648648648</v>
      </c>
      <c r="M33" s="250">
        <f ca="1">pajak[[#This Row],[Sub Total]]</f>
        <v>1817640</v>
      </c>
      <c r="N33" t="str">
        <f ca="1">IF(pajak[[#This Row],[//]]="","",INDEX(Table1[pembuat nota :],pajak[[#This Row],[//]]-offset))</f>
        <v>NOVI / CONDRO</v>
      </c>
      <c r="O33" t="str">
        <f ca="1">IF(pajak[[#This Row],[//]]="","",IF(INDEX(Table1[edited :],pajak[[#This Row],[//]]-offset)="","",INDEX(Table1[edited :],pajak[[#This Row],[//]]-offset)))</f>
        <v/>
      </c>
      <c r="P33" s="250"/>
      <c r="R33" t="str">
        <f>Table4[[#Headers],[AM]]</f>
        <v>AM</v>
      </c>
      <c r="S33">
        <f t="shared" si="1"/>
        <v>24050029</v>
      </c>
      <c r="T33" s="251">
        <f ca="1">IF(Table4[[#This Row],[AM]]&amp;" "&amp;Table4[[#This Row],[---]]=INDIRECT("pajak[@["&amp;Table4[#Headers]&amp;"]]"),MATCH(Table4[[#This Row],[---]],INDIRECT($3:$3),0))</f>
        <v>3194</v>
      </c>
      <c r="U33" s="251">
        <f ca="1">IF((INDEX(INDIRECT($3:$3),Table4[[#This Row],[No. Invoice :]]+$2:$2))=INDIRECT("pajak[@["&amp;Table4[#Headers]&amp;"]]"),1)</f>
        <v>1</v>
      </c>
      <c r="V33" s="251">
        <f ca="1">IF((INDEX(INDIRECT($3:$3),Table4[[#This Row],[No. Invoice :]]+$2:$2))=INDIRECT("pajak[@["&amp;Table4[#Headers]&amp;"]]"),1)</f>
        <v>1</v>
      </c>
      <c r="W33" s="251">
        <f ca="1">IF((INDEX(INDIRECT($3:$3),Table4[[#This Row],[No. Invoice :]]+$2:$2))=INDIRECT("pajak[@["&amp;Table4[#Headers]&amp;"]]"),1)</f>
        <v>1</v>
      </c>
      <c r="X33" s="251">
        <f ca="1">IF((INDEX(INDIRECT($3:$3),Table4[[#This Row],[No. Invoice :]]+$2:$2))=INDIRECT("pajak[@["&amp;Table4[#Headers]&amp;"]]"),1)</f>
        <v>1</v>
      </c>
    </row>
    <row r="34" spans="1:24">
      <c r="A34" s="576">
        <v>152</v>
      </c>
      <c r="D34">
        <f t="shared" ca="1" si="0"/>
        <v>152</v>
      </c>
      <c r="E34" t="str">
        <f ca="1">IF(pajak[[#This Row],[//]]="","",INDEX(Table1[No. Invoice :],pajak[[#This Row],[//]]-offset))</f>
        <v>AM 24050030</v>
      </c>
      <c r="F34" s="249">
        <f ca="1">IF(pajak[[#This Row],[//]]="","",INDEX(Table1[Tgl Invoice :],pajak[[#This Row],[//]]-offset))</f>
        <v>45436</v>
      </c>
      <c r="G34" t="str">
        <f ca="1">IF(pajak[[#This Row],[//]]="","",INDEX(Table1[Kode Sales :],pajak[[#This Row],[//]]-offset))</f>
        <v>G 4970</v>
      </c>
      <c r="H34" t="str">
        <f ca="1">IF(pajak[[#This Row],[//]]="","",INDEX(Table1[Toko],pajak[[#This Row],[//]]-offset))</f>
        <v>LILY JULIAWATI (REJO AGUNG) JOMBANG</v>
      </c>
      <c r="I34" s="250">
        <f ca="1">IF(pajak[[#This Row],[//]]="","",SUMIF(Table1[h_id],pajak[[#This Row],[//]],Table1[h_hargasebelumdiskon]))</f>
        <v>15667200</v>
      </c>
      <c r="J34" s="250">
        <f ca="1">IF(pajak[[#This Row],[//]]="","",SUMIF(Table1[h_id],pajak[[#This Row],[//]],Table1[h_diskon]))</f>
        <v>1166400</v>
      </c>
      <c r="K34" s="250">
        <f ca="1">IF(pajak[[#This Row],[//]]="","",SUMIF(Table1[h_id],pajak[[#This Row],[//]],Table1[h_hargasetelahdiskon]))</f>
        <v>14500800</v>
      </c>
      <c r="L34" s="250">
        <f ca="1">IF(pajak[[#This Row],[//]]="","",pajak[[#This Row],[Sub Total]]/1.11*11%)</f>
        <v>1437016.2162162161</v>
      </c>
      <c r="M34" s="250">
        <f ca="1">pajak[[#This Row],[Sub Total]]</f>
        <v>14500800</v>
      </c>
      <c r="N34" t="str">
        <f ca="1">IF(pajak[[#This Row],[//]]="","",INDEX(Table1[pembuat nota :],pajak[[#This Row],[//]]-offset))</f>
        <v>NOVI / CONDRO</v>
      </c>
      <c r="O34" t="str">
        <f ca="1">IF(pajak[[#This Row],[//]]="","",IF(INDEX(Table1[edited :],pajak[[#This Row],[//]]-offset)="","",INDEX(Table1[edited :],pajak[[#This Row],[//]]-offset)))</f>
        <v/>
      </c>
      <c r="P34" s="250"/>
      <c r="R34" t="str">
        <f>Table4[[#Headers],[AM]]</f>
        <v>AM</v>
      </c>
      <c r="S34">
        <f t="shared" si="1"/>
        <v>24050030</v>
      </c>
      <c r="T34" s="251">
        <f ca="1">IF(Table4[[#This Row],[AM]]&amp;" "&amp;Table4[[#This Row],[---]]=INDIRECT("pajak[@["&amp;Table4[#Headers]&amp;"]]"),MATCH(Table4[[#This Row],[---]],INDIRECT($3:$3),0))</f>
        <v>3308</v>
      </c>
      <c r="U34" s="251">
        <f ca="1">IF((INDEX(INDIRECT($3:$3),Table4[[#This Row],[No. Invoice :]]+$2:$2))=INDIRECT("pajak[@["&amp;Table4[#Headers]&amp;"]]"),1)</f>
        <v>1</v>
      </c>
      <c r="V34" s="251">
        <f ca="1">IF((INDEX(INDIRECT($3:$3),Table4[[#This Row],[No. Invoice :]]+$2:$2))=INDIRECT("pajak[@["&amp;Table4[#Headers]&amp;"]]"),1)</f>
        <v>1</v>
      </c>
      <c r="W34" s="251">
        <f ca="1">IF((INDEX(INDIRECT($3:$3),Table4[[#This Row],[No. Invoice :]]+$2:$2))=INDIRECT("pajak[@["&amp;Table4[#Headers]&amp;"]]"),1)</f>
        <v>1</v>
      </c>
      <c r="X34" s="251">
        <f ca="1">IF((INDEX(INDIRECT($3:$3),Table4[[#This Row],[No. Invoice :]]+$2:$2))=INDIRECT("pajak[@["&amp;Table4[#Headers]&amp;"]]"),1)</f>
        <v>1</v>
      </c>
    </row>
    <row r="35" spans="1:24">
      <c r="A35" s="576">
        <v>161</v>
      </c>
      <c r="D35">
        <f t="shared" ca="1" si="0"/>
        <v>161</v>
      </c>
      <c r="E35" t="str">
        <f ca="1">IF(pajak[[#This Row],[//]]="","",INDEX(Table1[No. Invoice :],pajak[[#This Row],[//]]-offset))</f>
        <v>AM 24050031</v>
      </c>
      <c r="F35" s="249">
        <f ca="1">IF(pajak[[#This Row],[//]]="","",INDEX(Table1[Tgl Invoice :],pajak[[#This Row],[//]]-offset))</f>
        <v>45412</v>
      </c>
      <c r="G35" t="str">
        <f ca="1">IF(pajak[[#This Row],[//]]="","",INDEX(Table1[Kode Sales :],pajak[[#This Row],[//]]-offset))</f>
        <v/>
      </c>
      <c r="H35" t="str">
        <f ca="1">IF(pajak[[#This Row],[//]]="","",INDEX(Table1[Toko],pajak[[#This Row],[//]]-offset))</f>
        <v>0 0 0</v>
      </c>
      <c r="I35" s="250">
        <f ca="1">IF(pajak[[#This Row],[//]]="","",SUMIF(Table1[h_id],pajak[[#This Row],[//]],Table1[h_hargasebelumdiskon]))</f>
        <v>0</v>
      </c>
      <c r="J35" s="250">
        <f ca="1">IF(pajak[[#This Row],[//]]="","",SUMIF(Table1[h_id],pajak[[#This Row],[//]],Table1[h_diskon]))</f>
        <v>0</v>
      </c>
      <c r="K35" s="250">
        <f ca="1">IF(pajak[[#This Row],[//]]="","",SUMIF(Table1[h_id],pajak[[#This Row],[//]],Table1[h_hargasetelahdiskon]))</f>
        <v>0</v>
      </c>
      <c r="L35" s="250">
        <f ca="1">IF(pajak[[#This Row],[//]]="","",pajak[[#This Row],[Sub Total]]/1.11*11%)</f>
        <v>0</v>
      </c>
      <c r="M35" s="250">
        <f ca="1">pajak[[#This Row],[Sub Total]]</f>
        <v>0</v>
      </c>
      <c r="N35">
        <f ca="1">IF(pajak[[#This Row],[//]]="","",INDEX(Table1[pembuat nota :],pajak[[#This Row],[//]]-offset))</f>
        <v>0</v>
      </c>
      <c r="O35" t="str">
        <f ca="1">IF(pajak[[#This Row],[//]]="","",IF(INDEX(Table1[edited :],pajak[[#This Row],[//]]-offset)="","",INDEX(Table1[edited :],pajak[[#This Row],[//]]-offset)))</f>
        <v/>
      </c>
      <c r="P35" s="250"/>
      <c r="R35" t="str">
        <f>Table4[[#Headers],[AM]]</f>
        <v>AM</v>
      </c>
      <c r="S35">
        <f t="shared" si="1"/>
        <v>24050031</v>
      </c>
      <c r="T35" s="251">
        <f ca="1">IF(Table4[[#This Row],[AM]]&amp;" "&amp;Table4[[#This Row],[---]]=INDIRECT("pajak[@["&amp;Table4[#Headers]&amp;"]]"),MATCH(Table4[[#This Row],[---]],INDIRECT($3:$3),0))</f>
        <v>3422</v>
      </c>
      <c r="U35" s="251" t="b">
        <f ca="1">IF((INDEX(INDIRECT($3:$3),Table4[[#This Row],[No. Invoice :]]+$2:$2))=INDIRECT("pajak[@["&amp;Table4[#Headers]&amp;"]]"),1)</f>
        <v>0</v>
      </c>
      <c r="V35" s="251" t="b">
        <f ca="1">IF((INDEX(INDIRECT($3:$3),Table4[[#This Row],[No. Invoice :]]+$2:$2))=INDIRECT("pajak[@["&amp;Table4[#Headers]&amp;"]]"),1)</f>
        <v>0</v>
      </c>
      <c r="W35" s="251" t="b">
        <f ca="1">IF((INDEX(INDIRECT($3:$3),Table4[[#This Row],[No. Invoice :]]+$2:$2))=INDIRECT("pajak[@["&amp;Table4[#Headers]&amp;"]]"),1)</f>
        <v>0</v>
      </c>
      <c r="X35" s="251" t="b">
        <f ca="1">IF((INDEX(INDIRECT($3:$3),Table4[[#This Row],[No. Invoice :]]+$2:$2))=INDIRECT("pajak[@["&amp;Table4[#Headers]&amp;"]]"),1)</f>
        <v>0</v>
      </c>
    </row>
    <row r="36" spans="1:24">
      <c r="A36" s="576">
        <v>164</v>
      </c>
      <c r="D36">
        <f t="shared" ca="1" si="0"/>
        <v>164</v>
      </c>
      <c r="E36" t="str">
        <f ca="1">IF(pajak[[#This Row],[//]]="","",INDEX(Table1[No. Invoice :],pajak[[#This Row],[//]]-offset))</f>
        <v>AM 24050032</v>
      </c>
      <c r="F36" s="249">
        <f ca="1">IF(pajak[[#This Row],[//]]="","",INDEX(Table1[Tgl Invoice :],pajak[[#This Row],[//]]-offset))</f>
        <v>45412</v>
      </c>
      <c r="G36" t="str">
        <f ca="1">IF(pajak[[#This Row],[//]]="","",INDEX(Table1[Kode Sales :],pajak[[#This Row],[//]]-offset))</f>
        <v/>
      </c>
      <c r="H36" t="str">
        <f ca="1">IF(pajak[[#This Row],[//]]="","",INDEX(Table1[Toko],pajak[[#This Row],[//]]-offset))</f>
        <v>0 0 0</v>
      </c>
      <c r="I36" s="250">
        <f ca="1">IF(pajak[[#This Row],[//]]="","",SUMIF(Table1[h_id],pajak[[#This Row],[//]],Table1[h_hargasebelumdiskon]))</f>
        <v>0</v>
      </c>
      <c r="J36" s="250">
        <f ca="1">IF(pajak[[#This Row],[//]]="","",SUMIF(Table1[h_id],pajak[[#This Row],[//]],Table1[h_diskon]))</f>
        <v>0</v>
      </c>
      <c r="K36" s="250">
        <f ca="1">IF(pajak[[#This Row],[//]]="","",SUMIF(Table1[h_id],pajak[[#This Row],[//]],Table1[h_hargasetelahdiskon]))</f>
        <v>0</v>
      </c>
      <c r="L36" s="250">
        <f ca="1">IF(pajak[[#This Row],[//]]="","",pajak[[#This Row],[Sub Total]]/1.11*11%)</f>
        <v>0</v>
      </c>
      <c r="M36" s="250">
        <f ca="1">pajak[[#This Row],[Sub Total]]</f>
        <v>0</v>
      </c>
      <c r="N36">
        <f ca="1">IF(pajak[[#This Row],[//]]="","",INDEX(Table1[pembuat nota :],pajak[[#This Row],[//]]-offset))</f>
        <v>0</v>
      </c>
      <c r="O36" t="str">
        <f ca="1">IF(pajak[[#This Row],[//]]="","",IF(INDEX(Table1[edited :],pajak[[#This Row],[//]]-offset)="","",INDEX(Table1[edited :],pajak[[#This Row],[//]]-offset)))</f>
        <v/>
      </c>
      <c r="P36" s="250"/>
      <c r="R36" t="str">
        <f>Table4[[#Headers],[AM]]</f>
        <v>AM</v>
      </c>
      <c r="S36">
        <f t="shared" si="1"/>
        <v>24050032</v>
      </c>
      <c r="T36" s="251">
        <f ca="1">IF(Table4[[#This Row],[AM]]&amp;" "&amp;Table4[[#This Row],[---]]=INDIRECT("pajak[@["&amp;Table4[#Headers]&amp;"]]"),MATCH(Table4[[#This Row],[---]],INDIRECT($3:$3),0))</f>
        <v>3536</v>
      </c>
      <c r="U36" s="251" t="b">
        <f ca="1">IF((INDEX(INDIRECT($3:$3),Table4[[#This Row],[No. Invoice :]]+$2:$2))=INDIRECT("pajak[@["&amp;Table4[#Headers]&amp;"]]"),1)</f>
        <v>0</v>
      </c>
      <c r="V36" s="251" t="b">
        <f ca="1">IF((INDEX(INDIRECT($3:$3),Table4[[#This Row],[No. Invoice :]]+$2:$2))=INDIRECT("pajak[@["&amp;Table4[#Headers]&amp;"]]"),1)</f>
        <v>0</v>
      </c>
      <c r="W36" s="251" t="b">
        <f ca="1">IF((INDEX(INDIRECT($3:$3),Table4[[#This Row],[No. Invoice :]]+$2:$2))=INDIRECT("pajak[@["&amp;Table4[#Headers]&amp;"]]"),1)</f>
        <v>0</v>
      </c>
      <c r="X36" s="251" t="b">
        <f ca="1">IF((INDEX(INDIRECT($3:$3),Table4[[#This Row],[No. Invoice :]]+$2:$2))=INDIRECT("pajak[@["&amp;Table4[#Headers]&amp;"]]"),1)</f>
        <v>0</v>
      </c>
    </row>
    <row r="37" spans="1:24">
      <c r="A37" s="576">
        <v>165</v>
      </c>
      <c r="D37">
        <f t="shared" ref="D37:D57" ca="1" si="2">IF(ROW()-(COUNTBLANK($D$1:$D$3)+1)&lt;=jNota,A37,"")</f>
        <v>165</v>
      </c>
      <c r="E37" t="str">
        <f ca="1">IF(pajak[[#This Row],[//]]="","",INDEX(Table1[No. Invoice :],pajak[[#This Row],[//]]-offset))</f>
        <v>AM 24050033</v>
      </c>
      <c r="F37" s="249">
        <f ca="1">IF(pajak[[#This Row],[//]]="","",INDEX(Table1[Tgl Invoice :],pajak[[#This Row],[//]]-offset))</f>
        <v>45412</v>
      </c>
      <c r="G37" t="str">
        <f ca="1">IF(pajak[[#This Row],[//]]="","",INDEX(Table1[Kode Sales :],pajak[[#This Row],[//]]-offset))</f>
        <v/>
      </c>
      <c r="H37" t="str">
        <f ca="1">IF(pajak[[#This Row],[//]]="","",INDEX(Table1[Toko],pajak[[#This Row],[//]]-offset))</f>
        <v>0 0 0</v>
      </c>
      <c r="I37" s="250">
        <f ca="1">IF(pajak[[#This Row],[//]]="","",SUMIF(Table1[h_id],pajak[[#This Row],[//]],Table1[h_hargasebelumdiskon]))</f>
        <v>0</v>
      </c>
      <c r="J37" s="250">
        <f ca="1">IF(pajak[[#This Row],[//]]="","",SUMIF(Table1[h_id],pajak[[#This Row],[//]],Table1[h_diskon]))</f>
        <v>0</v>
      </c>
      <c r="K37" s="250">
        <f ca="1">IF(pajak[[#This Row],[//]]="","",SUMIF(Table1[h_id],pajak[[#This Row],[//]],Table1[h_hargasetelahdiskon]))</f>
        <v>0</v>
      </c>
      <c r="L37" s="250">
        <f ca="1">IF(pajak[[#This Row],[//]]="","",pajak[[#This Row],[Sub Total]]/1.11*11%)</f>
        <v>0</v>
      </c>
      <c r="M37" s="250">
        <f ca="1">pajak[[#This Row],[Sub Total]]</f>
        <v>0</v>
      </c>
      <c r="N37">
        <f ca="1">IF(pajak[[#This Row],[//]]="","",INDEX(Table1[pembuat nota :],pajak[[#This Row],[//]]-offset))</f>
        <v>0</v>
      </c>
      <c r="O37" t="str">
        <f ca="1">IF(pajak[[#This Row],[//]]="","",IF(INDEX(Table1[edited :],pajak[[#This Row],[//]]-offset)="","",INDEX(Table1[edited :],pajak[[#This Row],[//]]-offset)))</f>
        <v/>
      </c>
      <c r="P37" s="250"/>
      <c r="R37" t="str">
        <f>Table4[[#Headers],[AM]]</f>
        <v>AM</v>
      </c>
      <c r="S37">
        <f t="shared" ref="S37:S57" si="3">S$3+ROW()-5</f>
        <v>24050033</v>
      </c>
      <c r="T37" s="251">
        <f ca="1">IF(Table4[[#This Row],[AM]]&amp;" "&amp;Table4[[#This Row],[---]]=INDIRECT("pajak[@["&amp;Table4[#Headers]&amp;"]]"),MATCH(Table4[[#This Row],[---]],INDIRECT($3:$3),0))</f>
        <v>3650</v>
      </c>
      <c r="U37" s="251" t="b">
        <f ca="1">IF((INDEX(INDIRECT($3:$3),Table4[[#This Row],[No. Invoice :]]+$2:$2))=INDIRECT("pajak[@["&amp;Table4[#Headers]&amp;"]]"),1)</f>
        <v>0</v>
      </c>
      <c r="V37" s="251" t="b">
        <f ca="1">IF((INDEX(INDIRECT($3:$3),Table4[[#This Row],[No. Invoice :]]+$2:$2))=INDIRECT("pajak[@["&amp;Table4[#Headers]&amp;"]]"),1)</f>
        <v>0</v>
      </c>
      <c r="W37" s="251" t="b">
        <f ca="1">IF((INDEX(INDIRECT($3:$3),Table4[[#This Row],[No. Invoice :]]+$2:$2))=INDIRECT("pajak[@["&amp;Table4[#Headers]&amp;"]]"),1)</f>
        <v>0</v>
      </c>
      <c r="X37" s="251" t="b">
        <f ca="1">IF((INDEX(INDIRECT($3:$3),Table4[[#This Row],[No. Invoice :]]+$2:$2))=INDIRECT("pajak[@["&amp;Table4[#Headers]&amp;"]]"),1)</f>
        <v>0</v>
      </c>
    </row>
    <row r="38" spans="1:24">
      <c r="A38" s="576">
        <v>166</v>
      </c>
      <c r="D38">
        <f t="shared" ca="1" si="2"/>
        <v>166</v>
      </c>
      <c r="E38" t="str">
        <f ca="1">IF(pajak[[#This Row],[//]]="","",INDEX(Table1[No. Invoice :],pajak[[#This Row],[//]]-offset))</f>
        <v>AM 24050034</v>
      </c>
      <c r="F38" s="249">
        <f ca="1">IF(pajak[[#This Row],[//]]="","",INDEX(Table1[Tgl Invoice :],pajak[[#This Row],[//]]-offset))</f>
        <v>45412</v>
      </c>
      <c r="G38" t="str">
        <f ca="1">IF(pajak[[#This Row],[//]]="","",INDEX(Table1[Kode Sales :],pajak[[#This Row],[//]]-offset))</f>
        <v/>
      </c>
      <c r="H38" t="str">
        <f ca="1">IF(pajak[[#This Row],[//]]="","",INDEX(Table1[Toko],pajak[[#This Row],[//]]-offset))</f>
        <v>0 0 0</v>
      </c>
      <c r="I38" s="250">
        <f ca="1">IF(pajak[[#This Row],[//]]="","",SUMIF(Table1[h_id],pajak[[#This Row],[//]],Table1[h_hargasebelumdiskon]))</f>
        <v>0</v>
      </c>
      <c r="J38" s="250">
        <f ca="1">IF(pajak[[#This Row],[//]]="","",SUMIF(Table1[h_id],pajak[[#This Row],[//]],Table1[h_diskon]))</f>
        <v>0</v>
      </c>
      <c r="K38" s="250">
        <f ca="1">IF(pajak[[#This Row],[//]]="","",SUMIF(Table1[h_id],pajak[[#This Row],[//]],Table1[h_hargasetelahdiskon]))</f>
        <v>0</v>
      </c>
      <c r="L38" s="250">
        <f ca="1">IF(pajak[[#This Row],[//]]="","",pajak[[#This Row],[Sub Total]]/1.11*11%)</f>
        <v>0</v>
      </c>
      <c r="M38" s="250">
        <f ca="1">pajak[[#This Row],[Sub Total]]</f>
        <v>0</v>
      </c>
      <c r="N38">
        <f ca="1">IF(pajak[[#This Row],[//]]="","",INDEX(Table1[pembuat nota :],pajak[[#This Row],[//]]-offset))</f>
        <v>0</v>
      </c>
      <c r="O38" t="str">
        <f ca="1">IF(pajak[[#This Row],[//]]="","",IF(INDEX(Table1[edited :],pajak[[#This Row],[//]]-offset)="","",INDEX(Table1[edited :],pajak[[#This Row],[//]]-offset)))</f>
        <v/>
      </c>
      <c r="P38" s="250"/>
      <c r="R38" t="str">
        <f>Table4[[#Headers],[AM]]</f>
        <v>AM</v>
      </c>
      <c r="S38">
        <f t="shared" si="3"/>
        <v>24050034</v>
      </c>
      <c r="T38" s="251">
        <f ca="1">IF(Table4[[#This Row],[AM]]&amp;" "&amp;Table4[[#This Row],[---]]=INDIRECT("pajak[@["&amp;Table4[#Headers]&amp;"]]"),MATCH(Table4[[#This Row],[---]],INDIRECT($3:$3),0))</f>
        <v>3764</v>
      </c>
      <c r="U38" s="251" t="b">
        <f ca="1">IF((INDEX(INDIRECT($3:$3),Table4[[#This Row],[No. Invoice :]]+$2:$2))=INDIRECT("pajak[@["&amp;Table4[#Headers]&amp;"]]"),1)</f>
        <v>0</v>
      </c>
      <c r="V38" s="251" t="b">
        <f ca="1">IF((INDEX(INDIRECT($3:$3),Table4[[#This Row],[No. Invoice :]]+$2:$2))=INDIRECT("pajak[@["&amp;Table4[#Headers]&amp;"]]"),1)</f>
        <v>0</v>
      </c>
      <c r="W38" s="251" t="b">
        <f ca="1">IF((INDEX(INDIRECT($3:$3),Table4[[#This Row],[No. Invoice :]]+$2:$2))=INDIRECT("pajak[@["&amp;Table4[#Headers]&amp;"]]"),1)</f>
        <v>0</v>
      </c>
      <c r="X38" s="251" t="b">
        <f ca="1">IF((INDEX(INDIRECT($3:$3),Table4[[#This Row],[No. Invoice :]]+$2:$2))=INDIRECT("pajak[@["&amp;Table4[#Headers]&amp;"]]"),1)</f>
        <v>0</v>
      </c>
    </row>
    <row r="39" spans="1:24">
      <c r="A39" s="576">
        <v>168</v>
      </c>
      <c r="D39">
        <f t="shared" ca="1" si="2"/>
        <v>168</v>
      </c>
      <c r="E39" t="str">
        <f ca="1">IF(pajak[[#This Row],[//]]="","",INDEX(Table1[No. Invoice :],pajak[[#This Row],[//]]-offset))</f>
        <v>AM 24050035</v>
      </c>
      <c r="F39" s="249">
        <f ca="1">IF(pajak[[#This Row],[//]]="","",INDEX(Table1[Tgl Invoice :],pajak[[#This Row],[//]]-offset))</f>
        <v>45439</v>
      </c>
      <c r="G39" t="str">
        <f ca="1">IF(pajak[[#This Row],[//]]="","",INDEX(Table1[Kode Sales :],pajak[[#This Row],[//]]-offset))</f>
        <v>G 5000</v>
      </c>
      <c r="H39" t="str">
        <f ca="1">IF(pajak[[#This Row],[//]]="","",INDEX(Table1[Toko],pajak[[#This Row],[//]]-offset))</f>
        <v>LILY JULIAWATI (REJO AGUNG) JOMBANG</v>
      </c>
      <c r="I39" s="250">
        <f ca="1">IF(pajak[[#This Row],[//]]="","",SUMIF(Table1[h_id],pajak[[#This Row],[//]],Table1[h_hargasebelumdiskon]))</f>
        <v>5616000</v>
      </c>
      <c r="J39" s="250">
        <f ca="1">IF(pajak[[#This Row],[//]]="","",SUMIF(Table1[h_id],pajak[[#This Row],[//]],Table1[h_diskon]))</f>
        <v>702000</v>
      </c>
      <c r="K39" s="250">
        <f ca="1">IF(pajak[[#This Row],[//]]="","",SUMIF(Table1[h_id],pajak[[#This Row],[//]],Table1[h_hargasetelahdiskon]))</f>
        <v>4914000</v>
      </c>
      <c r="L39" s="250">
        <f ca="1">IF(pajak[[#This Row],[//]]="","",pajak[[#This Row],[Sub Total]]/1.11*11%)</f>
        <v>486972.97297297296</v>
      </c>
      <c r="M39" s="250">
        <f ca="1">pajak[[#This Row],[Sub Total]]</f>
        <v>4914000</v>
      </c>
      <c r="N39" t="str">
        <f ca="1">IF(pajak[[#This Row],[//]]="","",INDEX(Table1[pembuat nota :],pajak[[#This Row],[//]]-offset))</f>
        <v>NOVI / CONDRO</v>
      </c>
      <c r="O39" t="str">
        <f ca="1">IF(pajak[[#This Row],[//]]="","",IF(INDEX(Table1[edited :],pajak[[#This Row],[//]]-offset)="","",INDEX(Table1[edited :],pajak[[#This Row],[//]]-offset)))</f>
        <v/>
      </c>
      <c r="P39" s="250"/>
      <c r="R39" t="str">
        <f>Table4[[#Headers],[AM]]</f>
        <v>AM</v>
      </c>
      <c r="S39">
        <f t="shared" si="3"/>
        <v>24050035</v>
      </c>
      <c r="T39" s="251">
        <f ca="1">IF(Table4[[#This Row],[AM]]&amp;" "&amp;Table4[[#This Row],[---]]=INDIRECT("pajak[@["&amp;Table4[#Headers]&amp;"]]"),MATCH(Table4[[#This Row],[---]],INDIRECT($3:$3),0))</f>
        <v>3878</v>
      </c>
      <c r="U39" s="251">
        <f ca="1">IF((INDEX(INDIRECT($3:$3),Table4[[#This Row],[No. Invoice :]]+$2:$2))=INDIRECT("pajak[@["&amp;Table4[#Headers]&amp;"]]"),1)</f>
        <v>1</v>
      </c>
      <c r="V39" s="251">
        <f ca="1">IF((INDEX(INDIRECT($3:$3),Table4[[#This Row],[No. Invoice :]]+$2:$2))=INDIRECT("pajak[@["&amp;Table4[#Headers]&amp;"]]"),1)</f>
        <v>1</v>
      </c>
      <c r="W39" s="251">
        <f ca="1">IF((INDEX(INDIRECT($3:$3),Table4[[#This Row],[No. Invoice :]]+$2:$2))=INDIRECT("pajak[@["&amp;Table4[#Headers]&amp;"]]"),1)</f>
        <v>1</v>
      </c>
      <c r="X39" s="251">
        <f ca="1">IF((INDEX(INDIRECT($3:$3),Table4[[#This Row],[No. Invoice :]]+$2:$2))=INDIRECT("pajak[@["&amp;Table4[#Headers]&amp;"]]"),1)</f>
        <v>1</v>
      </c>
    </row>
    <row r="40" spans="1:24">
      <c r="A40" s="576">
        <v>170</v>
      </c>
      <c r="D40">
        <f t="shared" ca="1" si="2"/>
        <v>170</v>
      </c>
      <c r="E40" t="str">
        <f ca="1">IF(pajak[[#This Row],[//]]="","",INDEX(Table1[No. Invoice :],pajak[[#This Row],[//]]-offset))</f>
        <v>AM 24050036</v>
      </c>
      <c r="F40" s="249">
        <f ca="1">IF(pajak[[#This Row],[//]]="","",INDEX(Table1[Tgl Invoice :],pajak[[#This Row],[//]]-offset))</f>
        <v>45412</v>
      </c>
      <c r="G40" t="str">
        <f ca="1">IF(pajak[[#This Row],[//]]="","",INDEX(Table1[Kode Sales :],pajak[[#This Row],[//]]-offset))</f>
        <v/>
      </c>
      <c r="H40" t="str">
        <f ca="1">IF(pajak[[#This Row],[//]]="","",INDEX(Table1[Toko],pajak[[#This Row],[//]]-offset))</f>
        <v>0 0 0</v>
      </c>
      <c r="I40" s="250">
        <f ca="1">IF(pajak[[#This Row],[//]]="","",SUMIF(Table1[h_id],pajak[[#This Row],[//]],Table1[h_hargasebelumdiskon]))</f>
        <v>0</v>
      </c>
      <c r="J40" s="250">
        <f ca="1">IF(pajak[[#This Row],[//]]="","",SUMIF(Table1[h_id],pajak[[#This Row],[//]],Table1[h_diskon]))</f>
        <v>0</v>
      </c>
      <c r="K40" s="250">
        <f ca="1">IF(pajak[[#This Row],[//]]="","",SUMIF(Table1[h_id],pajak[[#This Row],[//]],Table1[h_hargasetelahdiskon]))</f>
        <v>0</v>
      </c>
      <c r="L40" s="250">
        <f ca="1">IF(pajak[[#This Row],[//]]="","",pajak[[#This Row],[Sub Total]]/1.11*11%)</f>
        <v>0</v>
      </c>
      <c r="M40" s="250">
        <f ca="1">pajak[[#This Row],[Sub Total]]</f>
        <v>0</v>
      </c>
      <c r="N40">
        <f ca="1">IF(pajak[[#This Row],[//]]="","",INDEX(Table1[pembuat nota :],pajak[[#This Row],[//]]-offset))</f>
        <v>0</v>
      </c>
      <c r="O40" t="str">
        <f ca="1">IF(pajak[[#This Row],[//]]="","",IF(INDEX(Table1[edited :],pajak[[#This Row],[//]]-offset)="","",INDEX(Table1[edited :],pajak[[#This Row],[//]]-offset)))</f>
        <v/>
      </c>
      <c r="P40" s="250"/>
      <c r="R40" t="str">
        <f>Table4[[#Headers],[AM]]</f>
        <v>AM</v>
      </c>
      <c r="S40">
        <f t="shared" si="3"/>
        <v>24050036</v>
      </c>
      <c r="T40" s="251">
        <f ca="1">IF(Table4[[#This Row],[AM]]&amp;" "&amp;Table4[[#This Row],[---]]=INDIRECT("pajak[@["&amp;Table4[#Headers]&amp;"]]"),MATCH(Table4[[#This Row],[---]],INDIRECT($3:$3),0))</f>
        <v>3992</v>
      </c>
      <c r="U40" s="251" t="b">
        <f ca="1">IF((INDEX(INDIRECT($3:$3),Table4[[#This Row],[No. Invoice :]]+$2:$2))=INDIRECT("pajak[@["&amp;Table4[#Headers]&amp;"]]"),1)</f>
        <v>0</v>
      </c>
      <c r="V40" s="251" t="b">
        <f ca="1">IF((INDEX(INDIRECT($3:$3),Table4[[#This Row],[No. Invoice :]]+$2:$2))=INDIRECT("pajak[@["&amp;Table4[#Headers]&amp;"]]"),1)</f>
        <v>0</v>
      </c>
      <c r="W40" s="251" t="b">
        <f ca="1">IF((INDEX(INDIRECT($3:$3),Table4[[#This Row],[No. Invoice :]]+$2:$2))=INDIRECT("pajak[@["&amp;Table4[#Headers]&amp;"]]"),1)</f>
        <v>0</v>
      </c>
      <c r="X40" s="251" t="b">
        <f ca="1">IF((INDEX(INDIRECT($3:$3),Table4[[#This Row],[No. Invoice :]]+$2:$2))=INDIRECT("pajak[@["&amp;Table4[#Headers]&amp;"]]"),1)</f>
        <v>0</v>
      </c>
    </row>
    <row r="41" spans="1:24">
      <c r="A41" s="576">
        <v>172</v>
      </c>
      <c r="D41">
        <f t="shared" ca="1" si="2"/>
        <v>172</v>
      </c>
      <c r="E41" t="str">
        <f ca="1">IF(pajak[[#This Row],[//]]="","",INDEX(Table1[No. Invoice :],pajak[[#This Row],[//]]-offset))</f>
        <v>AM 24050037</v>
      </c>
      <c r="F41" s="249">
        <f ca="1">IF(pajak[[#This Row],[//]]="","",INDEX(Table1[Tgl Invoice :],pajak[[#This Row],[//]]-offset))</f>
        <v>45412</v>
      </c>
      <c r="G41" t="str">
        <f ca="1">IF(pajak[[#This Row],[//]]="","",INDEX(Table1[Kode Sales :],pajak[[#This Row],[//]]-offset))</f>
        <v/>
      </c>
      <c r="H41" t="str">
        <f ca="1">IF(pajak[[#This Row],[//]]="","",INDEX(Table1[Toko],pajak[[#This Row],[//]]-offset))</f>
        <v>0 0 0</v>
      </c>
      <c r="I41" s="250">
        <f ca="1">IF(pajak[[#This Row],[//]]="","",SUMIF(Table1[h_id],pajak[[#This Row],[//]],Table1[h_hargasebelumdiskon]))</f>
        <v>0</v>
      </c>
      <c r="J41" s="250">
        <f ca="1">IF(pajak[[#This Row],[//]]="","",SUMIF(Table1[h_id],pajak[[#This Row],[//]],Table1[h_diskon]))</f>
        <v>0</v>
      </c>
      <c r="K41" s="250">
        <f ca="1">IF(pajak[[#This Row],[//]]="","",SUMIF(Table1[h_id],pajak[[#This Row],[//]],Table1[h_hargasetelahdiskon]))</f>
        <v>0</v>
      </c>
      <c r="L41" s="250">
        <f ca="1">IF(pajak[[#This Row],[//]]="","",pajak[[#This Row],[Sub Total]]/1.11*11%)</f>
        <v>0</v>
      </c>
      <c r="M41" s="250">
        <f ca="1">pajak[[#This Row],[Sub Total]]</f>
        <v>0</v>
      </c>
      <c r="N41">
        <f ca="1">IF(pajak[[#This Row],[//]]="","",INDEX(Table1[pembuat nota :],pajak[[#This Row],[//]]-offset))</f>
        <v>0</v>
      </c>
      <c r="O41" t="str">
        <f ca="1">IF(pajak[[#This Row],[//]]="","",IF(INDEX(Table1[edited :],pajak[[#This Row],[//]]-offset)="","",INDEX(Table1[edited :],pajak[[#This Row],[//]]-offset)))</f>
        <v/>
      </c>
      <c r="P41" s="250"/>
      <c r="R41" t="str">
        <f>Table4[[#Headers],[AM]]</f>
        <v>AM</v>
      </c>
      <c r="S41">
        <f t="shared" si="3"/>
        <v>24050037</v>
      </c>
      <c r="T41" s="251">
        <f ca="1">IF(Table4[[#This Row],[AM]]&amp;" "&amp;Table4[[#This Row],[---]]=INDIRECT("pajak[@["&amp;Table4[#Headers]&amp;"]]"),MATCH(Table4[[#This Row],[---]],INDIRECT($3:$3),0))</f>
        <v>4106</v>
      </c>
      <c r="U41" s="251" t="b">
        <f ca="1">IF((INDEX(INDIRECT($3:$3),Table4[[#This Row],[No. Invoice :]]+$2:$2))=INDIRECT("pajak[@["&amp;Table4[#Headers]&amp;"]]"),1)</f>
        <v>0</v>
      </c>
      <c r="V41" s="251" t="b">
        <f ca="1">IF((INDEX(INDIRECT($3:$3),Table4[[#This Row],[No. Invoice :]]+$2:$2))=INDIRECT("pajak[@["&amp;Table4[#Headers]&amp;"]]"),1)</f>
        <v>0</v>
      </c>
      <c r="W41" s="251" t="b">
        <f ca="1">IF((INDEX(INDIRECT($3:$3),Table4[[#This Row],[No. Invoice :]]+$2:$2))=INDIRECT("pajak[@["&amp;Table4[#Headers]&amp;"]]"),1)</f>
        <v>0</v>
      </c>
      <c r="X41" s="251" t="b">
        <f ca="1">IF((INDEX(INDIRECT($3:$3),Table4[[#This Row],[No. Invoice :]]+$2:$2))=INDIRECT("pajak[@["&amp;Table4[#Headers]&amp;"]]"),1)</f>
        <v>0</v>
      </c>
    </row>
    <row r="42" spans="1:24">
      <c r="A42" s="576">
        <v>177</v>
      </c>
      <c r="D42">
        <f t="shared" ca="1" si="2"/>
        <v>177</v>
      </c>
      <c r="E42" t="str">
        <f ca="1">IF(pajak[[#This Row],[//]]="","",INDEX(Table1[No. Invoice :],pajak[[#This Row],[//]]-offset))</f>
        <v>AM 24050038</v>
      </c>
      <c r="F42" s="249">
        <f ca="1">IF(pajak[[#This Row],[//]]="","",INDEX(Table1[Tgl Invoice :],pajak[[#This Row],[//]]-offset))</f>
        <v>45441</v>
      </c>
      <c r="G42" t="str">
        <f ca="1">IF(pajak[[#This Row],[//]]="","",INDEX(Table1[Kode Sales :],pajak[[#This Row],[//]]-offset))</f>
        <v>A 4839</v>
      </c>
      <c r="H42" t="str">
        <f ca="1">IF(pajak[[#This Row],[//]]="","",INDEX(Table1[Toko],pajak[[#This Row],[//]]-offset))</f>
        <v>CV GITA CAHYA ( DHIAN ) BANJARNEGARA</v>
      </c>
      <c r="I42" s="250">
        <f ca="1">IF(pajak[[#This Row],[//]]="","",SUMIF(Table1[h_id],pajak[[#This Row],[//]],Table1[h_hargasebelumdiskon]))</f>
        <v>1682400</v>
      </c>
      <c r="J42" s="250">
        <f ca="1">IF(pajak[[#This Row],[//]]="","",SUMIF(Table1[h_id],pajak[[#This Row],[//]],Table1[h_diskon]))</f>
        <v>168240</v>
      </c>
      <c r="K42" s="250">
        <f ca="1">IF(pajak[[#This Row],[//]]="","",SUMIF(Table1[h_id],pajak[[#This Row],[//]],Table1[h_hargasetelahdiskon]))</f>
        <v>1514160</v>
      </c>
      <c r="L42" s="250">
        <f ca="1">IF(pajak[[#This Row],[//]]="","",pajak[[#This Row],[Sub Total]]/1.11*11%)</f>
        <v>150051.89189189186</v>
      </c>
      <c r="M42" s="250">
        <f ca="1">pajak[[#This Row],[Sub Total]]</f>
        <v>1514160</v>
      </c>
      <c r="N42" t="str">
        <f ca="1">IF(pajak[[#This Row],[//]]="","",INDEX(Table1[pembuat nota :],pajak[[#This Row],[//]]-offset))</f>
        <v>NOVI / CONDRO</v>
      </c>
      <c r="O42" t="str">
        <f ca="1">IF(pajak[[#This Row],[//]]="","",IF(INDEX(Table1[edited :],pajak[[#This Row],[//]]-offset)="","",INDEX(Table1[edited :],pajak[[#This Row],[//]]-offset)))</f>
        <v/>
      </c>
      <c r="P42" s="250"/>
      <c r="R42" t="str">
        <f>Table4[[#Headers],[AM]]</f>
        <v>AM</v>
      </c>
      <c r="S42">
        <f t="shared" si="3"/>
        <v>24050038</v>
      </c>
      <c r="T42" s="251">
        <f ca="1">IF(Table4[[#This Row],[AM]]&amp;" "&amp;Table4[[#This Row],[---]]=INDIRECT("pajak[@["&amp;Table4[#Headers]&amp;"]]"),MATCH(Table4[[#This Row],[---]],INDIRECT($3:$3),0))</f>
        <v>4220</v>
      </c>
      <c r="U42" s="251">
        <f ca="1">IF((INDEX(INDIRECT($3:$3),Table4[[#This Row],[No. Invoice :]]+$2:$2))=INDIRECT("pajak[@["&amp;Table4[#Headers]&amp;"]]"),1)</f>
        <v>1</v>
      </c>
      <c r="V42" s="251">
        <f ca="1">IF((INDEX(INDIRECT($3:$3),Table4[[#This Row],[No. Invoice :]]+$2:$2))=INDIRECT("pajak[@["&amp;Table4[#Headers]&amp;"]]"),1)</f>
        <v>1</v>
      </c>
      <c r="W42" s="251">
        <f ca="1">IF((INDEX(INDIRECT($3:$3),Table4[[#This Row],[No. Invoice :]]+$2:$2))=INDIRECT("pajak[@["&amp;Table4[#Headers]&amp;"]]"),1)</f>
        <v>1</v>
      </c>
      <c r="X42" s="251">
        <f ca="1">IF((INDEX(INDIRECT($3:$3),Table4[[#This Row],[No. Invoice :]]+$2:$2))=INDIRECT("pajak[@["&amp;Table4[#Headers]&amp;"]]"),1)</f>
        <v>1</v>
      </c>
    </row>
    <row r="43" spans="1:24">
      <c r="A43" s="576"/>
      <c r="D43" t="str">
        <f t="shared" ca="1" si="2"/>
        <v/>
      </c>
      <c r="E43" t="str">
        <f ca="1">IF(pajak[[#This Row],[//]]="","",INDEX(Table1[No. Invoice :],pajak[[#This Row],[//]]-offset))</f>
        <v/>
      </c>
      <c r="F43" s="249" t="str">
        <f ca="1">IF(pajak[[#This Row],[//]]="","",INDEX(Table1[Tgl Invoice :],pajak[[#This Row],[//]]-offset))</f>
        <v/>
      </c>
      <c r="G43" t="str">
        <f ca="1">IF(pajak[[#This Row],[//]]="","",INDEX(Table1[Kode Sales :],pajak[[#This Row],[//]]-offset))</f>
        <v/>
      </c>
      <c r="H43" t="str">
        <f ca="1">IF(pajak[[#This Row],[//]]="","",INDEX(Table1[Toko],pajak[[#This Row],[//]]-offset))</f>
        <v/>
      </c>
      <c r="I43" s="250" t="str">
        <f ca="1">IF(pajak[[#This Row],[//]]="","",SUMIF(Table1[h_id],pajak[[#This Row],[//]],Table1[h_hargasebelumdiskon]))</f>
        <v/>
      </c>
      <c r="J43" s="250" t="str">
        <f ca="1">IF(pajak[[#This Row],[//]]="","",SUMIF(Table1[h_id],pajak[[#This Row],[//]],Table1[h_diskon]))</f>
        <v/>
      </c>
      <c r="K43" s="250" t="str">
        <f ca="1">IF(pajak[[#This Row],[//]]="","",SUMIF(Table1[h_id],pajak[[#This Row],[//]],Table1[h_hargasetelahdiskon]))</f>
        <v/>
      </c>
      <c r="L43" s="250" t="str">
        <f ca="1">IF(pajak[[#This Row],[//]]="","",pajak[[#This Row],[Sub Total]]/1.11*11%)</f>
        <v/>
      </c>
      <c r="M43" s="250" t="str">
        <f ca="1">pajak[[#This Row],[Sub Total]]</f>
        <v/>
      </c>
      <c r="N43" t="str">
        <f ca="1">IF(pajak[[#This Row],[//]]="","",INDEX(Table1[pembuat nota :],pajak[[#This Row],[//]]-offset))</f>
        <v/>
      </c>
      <c r="O43" t="str">
        <f ca="1">IF(pajak[[#This Row],[//]]="","",IF(INDEX(Table1[edited :],pajak[[#This Row],[//]]-offset)="","",INDEX(Table1[edited :],pajak[[#This Row],[//]]-offset)))</f>
        <v/>
      </c>
      <c r="P43" s="250"/>
      <c r="R43" t="str">
        <f>Table4[[#Headers],[AM]]</f>
        <v>AM</v>
      </c>
      <c r="S43">
        <f t="shared" si="3"/>
        <v>24050039</v>
      </c>
      <c r="T43" s="251" t="b">
        <f ca="1">IF(Table4[[#This Row],[AM]]&amp;" "&amp;Table4[[#This Row],[---]]=INDIRECT("pajak[@["&amp;Table4[#Headers]&amp;"]]"),MATCH(Table4[[#This Row],[---]],INDIRECT($3:$3),0))</f>
        <v>0</v>
      </c>
      <c r="U43" s="251" t="b">
        <f ca="1">IF((INDEX(INDIRECT($3:$3),Table4[[#This Row],[No. Invoice :]]+$2:$2))=INDIRECT("pajak[@["&amp;Table4[#Headers]&amp;"]]"),1)</f>
        <v>0</v>
      </c>
      <c r="V43" s="251" t="b">
        <f ca="1">IF((INDEX(INDIRECT($3:$3),Table4[[#This Row],[No. Invoice :]]+$2:$2))=INDIRECT("pajak[@["&amp;Table4[#Headers]&amp;"]]"),1)</f>
        <v>0</v>
      </c>
      <c r="W43" s="251">
        <f ca="1">IF((INDEX(INDIRECT($3:$3),Table4[[#This Row],[No. Invoice :]]+$2:$2))=INDIRECT("pajak[@["&amp;Table4[#Headers]&amp;"]]"),1)</f>
        <v>1</v>
      </c>
      <c r="X43" s="251">
        <f ca="1">IF((INDEX(INDIRECT($3:$3),Table4[[#This Row],[No. Invoice :]]+$2:$2))=INDIRECT("pajak[@["&amp;Table4[#Headers]&amp;"]]"),1)</f>
        <v>1</v>
      </c>
    </row>
    <row r="44" spans="1:24">
      <c r="A44" s="576" t="s">
        <v>52</v>
      </c>
      <c r="D44" t="str">
        <f t="shared" ca="1" si="2"/>
        <v/>
      </c>
      <c r="E44" t="str">
        <f ca="1">IF(pajak[[#This Row],[//]]="","",INDEX(Table1[No. Invoice :],pajak[[#This Row],[//]]-offset))</f>
        <v/>
      </c>
      <c r="F44" s="249" t="str">
        <f ca="1">IF(pajak[[#This Row],[//]]="","",INDEX(Table1[Tgl Invoice :],pajak[[#This Row],[//]]-offset))</f>
        <v/>
      </c>
      <c r="G44" t="str">
        <f ca="1">IF(pajak[[#This Row],[//]]="","",INDEX(Table1[Kode Sales :],pajak[[#This Row],[//]]-offset))</f>
        <v/>
      </c>
      <c r="H44" t="str">
        <f ca="1">IF(pajak[[#This Row],[//]]="","",INDEX(Table1[Toko],pajak[[#This Row],[//]]-offset))</f>
        <v/>
      </c>
      <c r="I44" s="250" t="str">
        <f ca="1">IF(pajak[[#This Row],[//]]="","",SUMIF(Table1[h_id],pajak[[#This Row],[//]],Table1[h_hargasebelumdiskon]))</f>
        <v/>
      </c>
      <c r="J44" s="250" t="str">
        <f ca="1">IF(pajak[[#This Row],[//]]="","",SUMIF(Table1[h_id],pajak[[#This Row],[//]],Table1[h_diskon]))</f>
        <v/>
      </c>
      <c r="K44" s="250" t="str">
        <f ca="1">IF(pajak[[#This Row],[//]]="","",SUMIF(Table1[h_id],pajak[[#This Row],[//]],Table1[h_hargasetelahdiskon]))</f>
        <v/>
      </c>
      <c r="L44" s="250" t="str">
        <f ca="1">IF(pajak[[#This Row],[//]]="","",pajak[[#This Row],[Sub Total]]/1.11*11%)</f>
        <v/>
      </c>
      <c r="M44" s="250" t="str">
        <f ca="1">pajak[[#This Row],[Sub Total]]</f>
        <v/>
      </c>
      <c r="N44" t="str">
        <f ca="1">IF(pajak[[#This Row],[//]]="","",INDEX(Table1[pembuat nota :],pajak[[#This Row],[//]]-offset))</f>
        <v/>
      </c>
      <c r="O44" t="str">
        <f ca="1">IF(pajak[[#This Row],[//]]="","",IF(INDEX(Table1[edited :],pajak[[#This Row],[//]]-offset)="","",INDEX(Table1[edited :],pajak[[#This Row],[//]]-offset)))</f>
        <v/>
      </c>
      <c r="P44" s="250"/>
      <c r="R44" t="str">
        <f>Table4[[#Headers],[AM]]</f>
        <v>AM</v>
      </c>
      <c r="S44">
        <f t="shared" si="3"/>
        <v>24050040</v>
      </c>
      <c r="T44" s="251" t="b">
        <f ca="1">IF(Table4[[#This Row],[AM]]&amp;" "&amp;Table4[[#This Row],[---]]=INDIRECT("pajak[@["&amp;Table4[#Headers]&amp;"]]"),MATCH(Table4[[#This Row],[---]],INDIRECT($3:$3),0))</f>
        <v>0</v>
      </c>
      <c r="U44" s="251" t="b">
        <f ca="1">IF((INDEX(INDIRECT($3:$3),Table4[[#This Row],[No. Invoice :]]+$2:$2))=INDIRECT("pajak[@["&amp;Table4[#Headers]&amp;"]]"),1)</f>
        <v>0</v>
      </c>
      <c r="V44" s="251" t="b">
        <f ca="1">IF((INDEX(INDIRECT($3:$3),Table4[[#This Row],[No. Invoice :]]+$2:$2))=INDIRECT("pajak[@["&amp;Table4[#Headers]&amp;"]]"),1)</f>
        <v>0</v>
      </c>
      <c r="W44" s="251">
        <f ca="1">IF((INDEX(INDIRECT($3:$3),Table4[[#This Row],[No. Invoice :]]+$2:$2))=INDIRECT("pajak[@["&amp;Table4[#Headers]&amp;"]]"),1)</f>
        <v>1</v>
      </c>
      <c r="X44" s="251">
        <f ca="1">IF((INDEX(INDIRECT($3:$3),Table4[[#This Row],[No. Invoice :]]+$2:$2))=INDIRECT("pajak[@["&amp;Table4[#Headers]&amp;"]]"),1)</f>
        <v>1</v>
      </c>
    </row>
    <row r="45" spans="1:24">
      <c r="D45" t="str">
        <f t="shared" ca="1" si="2"/>
        <v/>
      </c>
      <c r="E45" t="str">
        <f ca="1">IF(pajak[[#This Row],[//]]="","",INDEX(Table1[No. Invoice :],pajak[[#This Row],[//]]-offset))</f>
        <v/>
      </c>
      <c r="F45" s="249" t="str">
        <f ca="1">IF(pajak[[#This Row],[//]]="","",INDEX(Table1[Tgl Invoice :],pajak[[#This Row],[//]]-offset))</f>
        <v/>
      </c>
      <c r="G45" t="str">
        <f ca="1">IF(pajak[[#This Row],[//]]="","",INDEX(Table1[Kode Sales :],pajak[[#This Row],[//]]-offset))</f>
        <v/>
      </c>
      <c r="H45" t="str">
        <f ca="1">IF(pajak[[#This Row],[//]]="","",INDEX(Table1[Toko],pajak[[#This Row],[//]]-offset))</f>
        <v/>
      </c>
      <c r="I45" s="250" t="str">
        <f ca="1">IF(pajak[[#This Row],[//]]="","",SUMIF(Table1[h_id],pajak[[#This Row],[//]],Table1[h_hargasebelumdiskon]))</f>
        <v/>
      </c>
      <c r="J45" s="250" t="str">
        <f ca="1">IF(pajak[[#This Row],[//]]="","",SUMIF(Table1[h_id],pajak[[#This Row],[//]],Table1[h_diskon]))</f>
        <v/>
      </c>
      <c r="K45" s="250" t="str">
        <f ca="1">IF(pajak[[#This Row],[//]]="","",SUMIF(Table1[h_id],pajak[[#This Row],[//]],Table1[h_hargasetelahdiskon]))</f>
        <v/>
      </c>
      <c r="L45" s="250" t="str">
        <f ca="1">IF(pajak[[#This Row],[//]]="","",pajak[[#This Row],[Sub Total]]/1.11*11%)</f>
        <v/>
      </c>
      <c r="M45" s="250" t="str">
        <f ca="1">pajak[[#This Row],[Sub Total]]</f>
        <v/>
      </c>
      <c r="N45" t="str">
        <f ca="1">IF(pajak[[#This Row],[//]]="","",INDEX(Table1[pembuat nota :],pajak[[#This Row],[//]]-offset))</f>
        <v/>
      </c>
      <c r="O45" t="str">
        <f ca="1">IF(pajak[[#This Row],[//]]="","",IF(INDEX(Table1[edited :],pajak[[#This Row],[//]]-offset)="","",INDEX(Table1[edited :],pajak[[#This Row],[//]]-offset)))</f>
        <v/>
      </c>
      <c r="P45" s="250"/>
      <c r="R45" t="str">
        <f>Table4[[#Headers],[AM]]</f>
        <v>AM</v>
      </c>
      <c r="S45">
        <f t="shared" si="3"/>
        <v>24050041</v>
      </c>
      <c r="T45" s="251" t="b">
        <f ca="1">IF(Table4[[#This Row],[AM]]&amp;" "&amp;Table4[[#This Row],[---]]=INDIRECT("pajak[@["&amp;Table4[#Headers]&amp;"]]"),MATCH(Table4[[#This Row],[---]],INDIRECT($3:$3),0))</f>
        <v>0</v>
      </c>
      <c r="U45" s="251" t="b">
        <f ca="1">IF((INDEX(INDIRECT($3:$3),Table4[[#This Row],[No. Invoice :]]+$2:$2))=INDIRECT("pajak[@["&amp;Table4[#Headers]&amp;"]]"),1)</f>
        <v>0</v>
      </c>
      <c r="V45" s="251" t="b">
        <f ca="1">IF((INDEX(INDIRECT($3:$3),Table4[[#This Row],[No. Invoice :]]+$2:$2))=INDIRECT("pajak[@["&amp;Table4[#Headers]&amp;"]]"),1)</f>
        <v>0</v>
      </c>
      <c r="W45" s="251">
        <f ca="1">IF((INDEX(INDIRECT($3:$3),Table4[[#This Row],[No. Invoice :]]+$2:$2))=INDIRECT("pajak[@["&amp;Table4[#Headers]&amp;"]]"),1)</f>
        <v>1</v>
      </c>
      <c r="X45" s="251">
        <f ca="1">IF((INDEX(INDIRECT($3:$3),Table4[[#This Row],[No. Invoice :]]+$2:$2))=INDIRECT("pajak[@["&amp;Table4[#Headers]&amp;"]]"),1)</f>
        <v>1</v>
      </c>
    </row>
    <row r="46" spans="1:24">
      <c r="D46" t="str">
        <f t="shared" ca="1" si="2"/>
        <v/>
      </c>
      <c r="E46" t="str">
        <f ca="1">IF(pajak[[#This Row],[//]]="","",INDEX(Table1[No. Invoice :],pajak[[#This Row],[//]]-offset))</f>
        <v/>
      </c>
      <c r="F46" s="249" t="str">
        <f ca="1">IF(pajak[[#This Row],[//]]="","",INDEX(Table1[Tgl Invoice :],pajak[[#This Row],[//]]-offset))</f>
        <v/>
      </c>
      <c r="G46" t="str">
        <f ca="1">IF(pajak[[#This Row],[//]]="","",INDEX(Table1[Kode Sales :],pajak[[#This Row],[//]]-offset))</f>
        <v/>
      </c>
      <c r="H46" t="str">
        <f ca="1">IF(pajak[[#This Row],[//]]="","",INDEX(Table1[Toko],pajak[[#This Row],[//]]-offset))</f>
        <v/>
      </c>
      <c r="I46" s="250" t="str">
        <f ca="1">IF(pajak[[#This Row],[//]]="","",SUMIF(Table1[h_id],pajak[[#This Row],[//]],Table1[h_hargasebelumdiskon]))</f>
        <v/>
      </c>
      <c r="J46" s="250" t="str">
        <f ca="1">IF(pajak[[#This Row],[//]]="","",SUMIF(Table1[h_id],pajak[[#This Row],[//]],Table1[h_diskon]))</f>
        <v/>
      </c>
      <c r="K46" s="250" t="str">
        <f ca="1">IF(pajak[[#This Row],[//]]="","",SUMIF(Table1[h_id],pajak[[#This Row],[//]],Table1[h_hargasetelahdiskon]))</f>
        <v/>
      </c>
      <c r="L46" s="250" t="str">
        <f ca="1">IF(pajak[[#This Row],[//]]="","",pajak[[#This Row],[Sub Total]]/1.11*11%)</f>
        <v/>
      </c>
      <c r="M46" s="250" t="str">
        <f ca="1">pajak[[#This Row],[Sub Total]]</f>
        <v/>
      </c>
      <c r="N46" t="str">
        <f ca="1">IF(pajak[[#This Row],[//]]="","",INDEX(Table1[pembuat nota :],pajak[[#This Row],[//]]-offset))</f>
        <v/>
      </c>
      <c r="O46" t="str">
        <f ca="1">IF(pajak[[#This Row],[//]]="","",IF(INDEX(Table1[edited :],pajak[[#This Row],[//]]-offset)="","",INDEX(Table1[edited :],pajak[[#This Row],[//]]-offset)))</f>
        <v/>
      </c>
      <c r="P46" s="250"/>
      <c r="R46" t="str">
        <f>Table4[[#Headers],[AM]]</f>
        <v>AM</v>
      </c>
      <c r="S46">
        <f t="shared" si="3"/>
        <v>24050042</v>
      </c>
      <c r="T46" s="251" t="b">
        <f ca="1">IF(Table4[[#This Row],[AM]]&amp;" "&amp;Table4[[#This Row],[---]]=INDIRECT("pajak[@["&amp;Table4[#Headers]&amp;"]]"),MATCH(Table4[[#This Row],[---]],INDIRECT($3:$3),0))</f>
        <v>0</v>
      </c>
      <c r="U46" s="251" t="b">
        <f ca="1">IF((INDEX(INDIRECT($3:$3),Table4[[#This Row],[No. Invoice :]]+$2:$2))=INDIRECT("pajak[@["&amp;Table4[#Headers]&amp;"]]"),1)</f>
        <v>0</v>
      </c>
      <c r="V46" s="251" t="b">
        <f ca="1">IF((INDEX(INDIRECT($3:$3),Table4[[#This Row],[No. Invoice :]]+$2:$2))=INDIRECT("pajak[@["&amp;Table4[#Headers]&amp;"]]"),1)</f>
        <v>0</v>
      </c>
      <c r="W46" s="251">
        <f ca="1">IF((INDEX(INDIRECT($3:$3),Table4[[#This Row],[No. Invoice :]]+$2:$2))=INDIRECT("pajak[@["&amp;Table4[#Headers]&amp;"]]"),1)</f>
        <v>1</v>
      </c>
      <c r="X46" s="251">
        <f ca="1">IF((INDEX(INDIRECT($3:$3),Table4[[#This Row],[No. Invoice :]]+$2:$2))=INDIRECT("pajak[@["&amp;Table4[#Headers]&amp;"]]"),1)</f>
        <v>1</v>
      </c>
    </row>
    <row r="47" spans="1:24">
      <c r="D47" t="str">
        <f t="shared" ca="1" si="2"/>
        <v/>
      </c>
      <c r="E47" t="str">
        <f ca="1">IF(pajak[[#This Row],[//]]="","",INDEX(Table1[No. Invoice :],pajak[[#This Row],[//]]-offset))</f>
        <v/>
      </c>
      <c r="F47" s="249" t="str">
        <f ca="1">IF(pajak[[#This Row],[//]]="","",INDEX(Table1[Tgl Invoice :],pajak[[#This Row],[//]]-offset))</f>
        <v/>
      </c>
      <c r="G47" t="str">
        <f ca="1">IF(pajak[[#This Row],[//]]="","",INDEX(Table1[Kode Sales :],pajak[[#This Row],[//]]-offset))</f>
        <v/>
      </c>
      <c r="H47" t="str">
        <f ca="1">IF(pajak[[#This Row],[//]]="","",INDEX(Table1[Toko],pajak[[#This Row],[//]]-offset))</f>
        <v/>
      </c>
      <c r="I47" s="250" t="str">
        <f ca="1">IF(pajak[[#This Row],[//]]="","",SUMIF(Table1[h_id],pajak[[#This Row],[//]],Table1[h_hargasebelumdiskon]))</f>
        <v/>
      </c>
      <c r="J47" s="250" t="str">
        <f ca="1">IF(pajak[[#This Row],[//]]="","",SUMIF(Table1[h_id],pajak[[#This Row],[//]],Table1[h_diskon]))</f>
        <v/>
      </c>
      <c r="K47" s="250" t="str">
        <f ca="1">IF(pajak[[#This Row],[//]]="","",SUMIF(Table1[h_id],pajak[[#This Row],[//]],Table1[h_hargasetelahdiskon]))</f>
        <v/>
      </c>
      <c r="L47" s="250" t="str">
        <f ca="1">IF(pajak[[#This Row],[//]]="","",pajak[[#This Row],[Sub Total]]/1.11*11%)</f>
        <v/>
      </c>
      <c r="M47" s="250" t="str">
        <f ca="1">pajak[[#This Row],[Sub Total]]</f>
        <v/>
      </c>
      <c r="N47" t="str">
        <f ca="1">IF(pajak[[#This Row],[//]]="","",INDEX(Table1[pembuat nota :],pajak[[#This Row],[//]]-offset))</f>
        <v/>
      </c>
      <c r="O47" t="str">
        <f ca="1">IF(pajak[[#This Row],[//]]="","",IF(INDEX(Table1[edited :],pajak[[#This Row],[//]]-offset)="","",INDEX(Table1[edited :],pajak[[#This Row],[//]]-offset)))</f>
        <v/>
      </c>
      <c r="P47" s="250"/>
      <c r="R47" t="str">
        <f>Table4[[#Headers],[AM]]</f>
        <v>AM</v>
      </c>
      <c r="S47">
        <f t="shared" si="3"/>
        <v>24050043</v>
      </c>
      <c r="T47" s="251" t="b">
        <f ca="1">IF(Table4[[#This Row],[AM]]&amp;" "&amp;Table4[[#This Row],[---]]=INDIRECT("pajak[@["&amp;Table4[#Headers]&amp;"]]"),MATCH(Table4[[#This Row],[---]],INDIRECT($3:$3),0))</f>
        <v>0</v>
      </c>
      <c r="U47" s="251" t="b">
        <f ca="1">IF((INDEX(INDIRECT($3:$3),Table4[[#This Row],[No. Invoice :]]+$2:$2))=INDIRECT("pajak[@["&amp;Table4[#Headers]&amp;"]]"),1)</f>
        <v>0</v>
      </c>
      <c r="V47" s="251" t="b">
        <f ca="1">IF((INDEX(INDIRECT($3:$3),Table4[[#This Row],[No. Invoice :]]+$2:$2))=INDIRECT("pajak[@["&amp;Table4[#Headers]&amp;"]]"),1)</f>
        <v>0</v>
      </c>
      <c r="W47" s="251">
        <f ca="1">IF((INDEX(INDIRECT($3:$3),Table4[[#This Row],[No. Invoice :]]+$2:$2))=INDIRECT("pajak[@["&amp;Table4[#Headers]&amp;"]]"),1)</f>
        <v>1</v>
      </c>
      <c r="X47" s="251">
        <f ca="1">IF((INDEX(INDIRECT($3:$3),Table4[[#This Row],[No. Invoice :]]+$2:$2))=INDIRECT("pajak[@["&amp;Table4[#Headers]&amp;"]]"),1)</f>
        <v>1</v>
      </c>
    </row>
    <row r="48" spans="1:24">
      <c r="D48" t="str">
        <f t="shared" ca="1" si="2"/>
        <v/>
      </c>
      <c r="E48" t="str">
        <f ca="1">IF(pajak[[#This Row],[//]]="","",INDEX(Table1[No. Invoice :],pajak[[#This Row],[//]]-offset))</f>
        <v/>
      </c>
      <c r="F48" s="249" t="str">
        <f ca="1">IF(pajak[[#This Row],[//]]="","",INDEX(Table1[Tgl Invoice :],pajak[[#This Row],[//]]-offset))</f>
        <v/>
      </c>
      <c r="G48" t="str">
        <f ca="1">IF(pajak[[#This Row],[//]]="","",INDEX(Table1[Kode Sales :],pajak[[#This Row],[//]]-offset))</f>
        <v/>
      </c>
      <c r="H48" t="str">
        <f ca="1">IF(pajak[[#This Row],[//]]="","",INDEX(Table1[Toko],pajak[[#This Row],[//]]-offset))</f>
        <v/>
      </c>
      <c r="I48" s="250" t="str">
        <f ca="1">IF(pajak[[#This Row],[//]]="","",SUMIF(Table1[h_id],pajak[[#This Row],[//]],Table1[h_hargasebelumdiskon]))</f>
        <v/>
      </c>
      <c r="J48" s="250" t="str">
        <f ca="1">IF(pajak[[#This Row],[//]]="","",SUMIF(Table1[h_id],pajak[[#This Row],[//]],Table1[h_diskon]))</f>
        <v/>
      </c>
      <c r="K48" s="250" t="str">
        <f ca="1">IF(pajak[[#This Row],[//]]="","",SUMIF(Table1[h_id],pajak[[#This Row],[//]],Table1[h_hargasetelahdiskon]))</f>
        <v/>
      </c>
      <c r="L48" s="250" t="str">
        <f ca="1">IF(pajak[[#This Row],[//]]="","",pajak[[#This Row],[Sub Total]]/1.11*11%)</f>
        <v/>
      </c>
      <c r="M48" s="250" t="str">
        <f ca="1">pajak[[#This Row],[Sub Total]]</f>
        <v/>
      </c>
      <c r="N48" t="str">
        <f ca="1">IF(pajak[[#This Row],[//]]="","",INDEX(Table1[pembuat nota :],pajak[[#This Row],[//]]-offset))</f>
        <v/>
      </c>
      <c r="O48" t="str">
        <f ca="1">IF(pajak[[#This Row],[//]]="","",IF(INDEX(Table1[edited :],pajak[[#This Row],[//]]-offset)="","",INDEX(Table1[edited :],pajak[[#This Row],[//]]-offset)))</f>
        <v/>
      </c>
      <c r="P48" s="250"/>
      <c r="R48" t="str">
        <f>Table4[[#Headers],[AM]]</f>
        <v>AM</v>
      </c>
      <c r="S48">
        <f t="shared" si="3"/>
        <v>24050044</v>
      </c>
      <c r="T48" s="251" t="b">
        <f ca="1">IF(Table4[[#This Row],[AM]]&amp;" "&amp;Table4[[#This Row],[---]]=INDIRECT("pajak[@["&amp;Table4[#Headers]&amp;"]]"),MATCH(Table4[[#This Row],[---]],INDIRECT($3:$3),0))</f>
        <v>0</v>
      </c>
      <c r="U48" s="251" t="b">
        <f ca="1">IF((INDEX(INDIRECT($3:$3),Table4[[#This Row],[No. Invoice :]]+$2:$2))=INDIRECT("pajak[@["&amp;Table4[#Headers]&amp;"]]"),1)</f>
        <v>0</v>
      </c>
      <c r="V48" s="251" t="b">
        <f ca="1">IF((INDEX(INDIRECT($3:$3),Table4[[#This Row],[No. Invoice :]]+$2:$2))=INDIRECT("pajak[@["&amp;Table4[#Headers]&amp;"]]"),1)</f>
        <v>0</v>
      </c>
      <c r="W48" s="251">
        <f ca="1">IF((INDEX(INDIRECT($3:$3),Table4[[#This Row],[No. Invoice :]]+$2:$2))=INDIRECT("pajak[@["&amp;Table4[#Headers]&amp;"]]"),1)</f>
        <v>1</v>
      </c>
      <c r="X48" s="251">
        <f ca="1">IF((INDEX(INDIRECT($3:$3),Table4[[#This Row],[No. Invoice :]]+$2:$2))=INDIRECT("pajak[@["&amp;Table4[#Headers]&amp;"]]"),1)</f>
        <v>1</v>
      </c>
    </row>
    <row r="49" spans="4:24">
      <c r="D49" t="str">
        <f t="shared" ca="1" si="2"/>
        <v/>
      </c>
      <c r="E49" t="str">
        <f ca="1">IF(pajak[[#This Row],[//]]="","",INDEX(Table1[No. Invoice :],pajak[[#This Row],[//]]-offset))</f>
        <v/>
      </c>
      <c r="F49" s="249" t="str">
        <f ca="1">IF(pajak[[#This Row],[//]]="","",INDEX(Table1[Tgl Invoice :],pajak[[#This Row],[//]]-offset))</f>
        <v/>
      </c>
      <c r="G49" t="str">
        <f ca="1">IF(pajak[[#This Row],[//]]="","",INDEX(Table1[Kode Sales :],pajak[[#This Row],[//]]-offset))</f>
        <v/>
      </c>
      <c r="H49" t="str">
        <f ca="1">IF(pajak[[#This Row],[//]]="","",INDEX(Table1[Toko],pajak[[#This Row],[//]]-offset))</f>
        <v/>
      </c>
      <c r="I49" s="250" t="str">
        <f ca="1">IF(pajak[[#This Row],[//]]="","",SUMIF(Table1[h_id],pajak[[#This Row],[//]],Table1[h_hargasebelumdiskon]))</f>
        <v/>
      </c>
      <c r="J49" s="250" t="str">
        <f ca="1">IF(pajak[[#This Row],[//]]="","",SUMIF(Table1[h_id],pajak[[#This Row],[//]],Table1[h_diskon]))</f>
        <v/>
      </c>
      <c r="K49" s="250" t="str">
        <f ca="1">IF(pajak[[#This Row],[//]]="","",SUMIF(Table1[h_id],pajak[[#This Row],[//]],Table1[h_hargasetelahdiskon]))</f>
        <v/>
      </c>
      <c r="L49" s="250" t="str">
        <f ca="1">IF(pajak[[#This Row],[//]]="","",pajak[[#This Row],[Sub Total]]/1.11*11%)</f>
        <v/>
      </c>
      <c r="M49" s="250" t="str">
        <f ca="1">pajak[[#This Row],[Sub Total]]</f>
        <v/>
      </c>
      <c r="N49" t="str">
        <f ca="1">IF(pajak[[#This Row],[//]]="","",INDEX(Table1[pembuat nota :],pajak[[#This Row],[//]]-offset))</f>
        <v/>
      </c>
      <c r="O49" t="str">
        <f ca="1">IF(pajak[[#This Row],[//]]="","",IF(INDEX(Table1[edited :],pajak[[#This Row],[//]]-offset)="","",INDEX(Table1[edited :],pajak[[#This Row],[//]]-offset)))</f>
        <v/>
      </c>
      <c r="P49" s="250"/>
      <c r="R49" t="str">
        <f>Table4[[#Headers],[AM]]</f>
        <v>AM</v>
      </c>
      <c r="S49">
        <f t="shared" si="3"/>
        <v>24050045</v>
      </c>
      <c r="T49" s="251" t="b">
        <f ca="1">IF(Table4[[#This Row],[AM]]&amp;" "&amp;Table4[[#This Row],[---]]=INDIRECT("pajak[@["&amp;Table4[#Headers]&amp;"]]"),MATCH(Table4[[#This Row],[---]],INDIRECT($3:$3),0))</f>
        <v>0</v>
      </c>
      <c r="U49" s="251" t="b">
        <f ca="1">IF((INDEX(INDIRECT($3:$3),Table4[[#This Row],[No. Invoice :]]+$2:$2))=INDIRECT("pajak[@["&amp;Table4[#Headers]&amp;"]]"),1)</f>
        <v>0</v>
      </c>
      <c r="V49" s="251" t="b">
        <f ca="1">IF((INDEX(INDIRECT($3:$3),Table4[[#This Row],[No. Invoice :]]+$2:$2))=INDIRECT("pajak[@["&amp;Table4[#Headers]&amp;"]]"),1)</f>
        <v>0</v>
      </c>
      <c r="W49" s="251">
        <f ca="1">IF((INDEX(INDIRECT($3:$3),Table4[[#This Row],[No. Invoice :]]+$2:$2))=INDIRECT("pajak[@["&amp;Table4[#Headers]&amp;"]]"),1)</f>
        <v>1</v>
      </c>
      <c r="X49" s="251">
        <f ca="1">IF((INDEX(INDIRECT($3:$3),Table4[[#This Row],[No. Invoice :]]+$2:$2))=INDIRECT("pajak[@["&amp;Table4[#Headers]&amp;"]]"),1)</f>
        <v>1</v>
      </c>
    </row>
    <row r="50" spans="4:24">
      <c r="D50" t="str">
        <f t="shared" ca="1" si="2"/>
        <v/>
      </c>
      <c r="E50" t="str">
        <f ca="1">IF(pajak[[#This Row],[//]]="","",INDEX(Table1[No. Invoice :],pajak[[#This Row],[//]]-offset))</f>
        <v/>
      </c>
      <c r="F50" s="249" t="str">
        <f ca="1">IF(pajak[[#This Row],[//]]="","",INDEX(Table1[Tgl Invoice :],pajak[[#This Row],[//]]-offset))</f>
        <v/>
      </c>
      <c r="G50" t="str">
        <f ca="1">IF(pajak[[#This Row],[//]]="","",INDEX(Table1[Kode Sales :],pajak[[#This Row],[//]]-offset))</f>
        <v/>
      </c>
      <c r="H50" t="str">
        <f ca="1">IF(pajak[[#This Row],[//]]="","",INDEX(Table1[Toko],pajak[[#This Row],[//]]-offset))</f>
        <v/>
      </c>
      <c r="I50" s="250" t="str">
        <f ca="1">IF(pajak[[#This Row],[//]]="","",SUMIF(Table1[h_id],pajak[[#This Row],[//]],Table1[h_hargasebelumdiskon]))</f>
        <v/>
      </c>
      <c r="J50" s="250" t="str">
        <f ca="1">IF(pajak[[#This Row],[//]]="","",SUMIF(Table1[h_id],pajak[[#This Row],[//]],Table1[h_diskon]))</f>
        <v/>
      </c>
      <c r="K50" s="250" t="str">
        <f ca="1">IF(pajak[[#This Row],[//]]="","",SUMIF(Table1[h_id],pajak[[#This Row],[//]],Table1[h_hargasetelahdiskon]))</f>
        <v/>
      </c>
      <c r="L50" s="250" t="str">
        <f ca="1">IF(pajak[[#This Row],[//]]="","",pajak[[#This Row],[Sub Total]]/1.11*11%)</f>
        <v/>
      </c>
      <c r="M50" s="250" t="str">
        <f ca="1">pajak[[#This Row],[Sub Total]]</f>
        <v/>
      </c>
      <c r="N50" t="str">
        <f ca="1">IF(pajak[[#This Row],[//]]="","",INDEX(Table1[pembuat nota :],pajak[[#This Row],[//]]-offset))</f>
        <v/>
      </c>
      <c r="O50" t="str">
        <f ca="1">IF(pajak[[#This Row],[//]]="","",IF(INDEX(Table1[edited :],pajak[[#This Row],[//]]-offset)="","",INDEX(Table1[edited :],pajak[[#This Row],[//]]-offset)))</f>
        <v/>
      </c>
      <c r="P50" s="250"/>
      <c r="R50" t="str">
        <f>Table4[[#Headers],[AM]]</f>
        <v>AM</v>
      </c>
      <c r="S50">
        <f t="shared" si="3"/>
        <v>24050046</v>
      </c>
      <c r="T50" s="251" t="b">
        <f ca="1">IF(Table4[[#This Row],[AM]]&amp;" "&amp;Table4[[#This Row],[---]]=INDIRECT("pajak[@["&amp;Table4[#Headers]&amp;"]]"),MATCH(Table4[[#This Row],[---]],INDIRECT($3:$3),0))</f>
        <v>0</v>
      </c>
      <c r="U50" s="251" t="b">
        <f ca="1">IF((INDEX(INDIRECT($3:$3),Table4[[#This Row],[No. Invoice :]]+$2:$2))=INDIRECT("pajak[@["&amp;Table4[#Headers]&amp;"]]"),1)</f>
        <v>0</v>
      </c>
      <c r="V50" s="251" t="b">
        <f ca="1">IF((INDEX(INDIRECT($3:$3),Table4[[#This Row],[No. Invoice :]]+$2:$2))=INDIRECT("pajak[@["&amp;Table4[#Headers]&amp;"]]"),1)</f>
        <v>0</v>
      </c>
      <c r="W50" s="251">
        <f ca="1">IF((INDEX(INDIRECT($3:$3),Table4[[#This Row],[No. Invoice :]]+$2:$2))=INDIRECT("pajak[@["&amp;Table4[#Headers]&amp;"]]"),1)</f>
        <v>1</v>
      </c>
      <c r="X50" s="251">
        <f ca="1">IF((INDEX(INDIRECT($3:$3),Table4[[#This Row],[No. Invoice :]]+$2:$2))=INDIRECT("pajak[@["&amp;Table4[#Headers]&amp;"]]"),1)</f>
        <v>1</v>
      </c>
    </row>
    <row r="51" spans="4:24">
      <c r="D51" t="str">
        <f t="shared" ca="1" si="2"/>
        <v/>
      </c>
      <c r="E51" t="str">
        <f ca="1">IF(pajak[[#This Row],[//]]="","",INDEX(Table1[No. Invoice :],pajak[[#This Row],[//]]-offset))</f>
        <v/>
      </c>
      <c r="F51" s="249" t="str">
        <f ca="1">IF(pajak[[#This Row],[//]]="","",INDEX(Table1[Tgl Invoice :],pajak[[#This Row],[//]]-offset))</f>
        <v/>
      </c>
      <c r="G51" t="str">
        <f ca="1">IF(pajak[[#This Row],[//]]="","",INDEX(Table1[Kode Sales :],pajak[[#This Row],[//]]-offset))</f>
        <v/>
      </c>
      <c r="H51" t="str">
        <f ca="1">IF(pajak[[#This Row],[//]]="","",INDEX(Table1[Toko],pajak[[#This Row],[//]]-offset))</f>
        <v/>
      </c>
      <c r="I51" s="250" t="str">
        <f ca="1">IF(pajak[[#This Row],[//]]="","",SUMIF(Table1[h_id],pajak[[#This Row],[//]],Table1[h_hargasebelumdiskon]))</f>
        <v/>
      </c>
      <c r="J51" s="250" t="str">
        <f ca="1">IF(pajak[[#This Row],[//]]="","",SUMIF(Table1[h_id],pajak[[#This Row],[//]],Table1[h_diskon]))</f>
        <v/>
      </c>
      <c r="K51" s="250" t="str">
        <f ca="1">IF(pajak[[#This Row],[//]]="","",SUMIF(Table1[h_id],pajak[[#This Row],[//]],Table1[h_hargasetelahdiskon]))</f>
        <v/>
      </c>
      <c r="L51" s="250" t="str">
        <f ca="1">IF(pajak[[#This Row],[//]]="","",pajak[[#This Row],[Sub Total]]/1.11*11%)</f>
        <v/>
      </c>
      <c r="M51" s="250" t="str">
        <f ca="1">pajak[[#This Row],[Sub Total]]</f>
        <v/>
      </c>
      <c r="N51" t="str">
        <f ca="1">IF(pajak[[#This Row],[//]]="","",INDEX(Table1[pembuat nota :],pajak[[#This Row],[//]]-offset))</f>
        <v/>
      </c>
      <c r="O51" t="str">
        <f ca="1">IF(pajak[[#This Row],[//]]="","",IF(INDEX(Table1[edited :],pajak[[#This Row],[//]]-offset)="","",INDEX(Table1[edited :],pajak[[#This Row],[//]]-offset)))</f>
        <v/>
      </c>
      <c r="P51" s="250"/>
      <c r="R51" t="str">
        <f>Table4[[#Headers],[AM]]</f>
        <v>AM</v>
      </c>
      <c r="S51">
        <f t="shared" si="3"/>
        <v>24050047</v>
      </c>
      <c r="T51" s="251" t="b">
        <f ca="1">IF(Table4[[#This Row],[AM]]&amp;" "&amp;Table4[[#This Row],[---]]=INDIRECT("pajak[@["&amp;Table4[#Headers]&amp;"]]"),MATCH(Table4[[#This Row],[---]],INDIRECT($3:$3),0))</f>
        <v>0</v>
      </c>
      <c r="U51" s="251" t="b">
        <f ca="1">IF((INDEX(INDIRECT($3:$3),Table4[[#This Row],[No. Invoice :]]+$2:$2))=INDIRECT("pajak[@["&amp;Table4[#Headers]&amp;"]]"),1)</f>
        <v>0</v>
      </c>
      <c r="V51" s="251" t="b">
        <f ca="1">IF((INDEX(INDIRECT($3:$3),Table4[[#This Row],[No. Invoice :]]+$2:$2))=INDIRECT("pajak[@["&amp;Table4[#Headers]&amp;"]]"),1)</f>
        <v>0</v>
      </c>
      <c r="W51" s="251">
        <f ca="1">IF((INDEX(INDIRECT($3:$3),Table4[[#This Row],[No. Invoice :]]+$2:$2))=INDIRECT("pajak[@["&amp;Table4[#Headers]&amp;"]]"),1)</f>
        <v>1</v>
      </c>
      <c r="X51" s="251">
        <f ca="1">IF((INDEX(INDIRECT($3:$3),Table4[[#This Row],[No. Invoice :]]+$2:$2))=INDIRECT("pajak[@["&amp;Table4[#Headers]&amp;"]]"),1)</f>
        <v>1</v>
      </c>
    </row>
    <row r="52" spans="4:24">
      <c r="D52" t="str">
        <f t="shared" ca="1" si="2"/>
        <v/>
      </c>
      <c r="E52" t="str">
        <f ca="1">IF(pajak[[#This Row],[//]]="","",INDEX(Table1[No. Invoice :],pajak[[#This Row],[//]]-offset))</f>
        <v/>
      </c>
      <c r="F52" s="249" t="str">
        <f ca="1">IF(pajak[[#This Row],[//]]="","",INDEX(Table1[Tgl Invoice :],pajak[[#This Row],[//]]-offset))</f>
        <v/>
      </c>
      <c r="G52" t="str">
        <f ca="1">IF(pajak[[#This Row],[//]]="","",INDEX(Table1[Kode Sales :],pajak[[#This Row],[//]]-offset))</f>
        <v/>
      </c>
      <c r="H52" t="str">
        <f ca="1">IF(pajak[[#This Row],[//]]="","",INDEX(Table1[Toko],pajak[[#This Row],[//]]-offset))</f>
        <v/>
      </c>
      <c r="I52" s="250" t="str">
        <f ca="1">IF(pajak[[#This Row],[//]]="","",SUMIF(Table1[h_id],pajak[[#This Row],[//]],Table1[h_hargasebelumdiskon]))</f>
        <v/>
      </c>
      <c r="J52" s="250" t="str">
        <f ca="1">IF(pajak[[#This Row],[//]]="","",SUMIF(Table1[h_id],pajak[[#This Row],[//]],Table1[h_diskon]))</f>
        <v/>
      </c>
      <c r="K52" s="250" t="str">
        <f ca="1">IF(pajak[[#This Row],[//]]="","",SUMIF(Table1[h_id],pajak[[#This Row],[//]],Table1[h_hargasetelahdiskon]))</f>
        <v/>
      </c>
      <c r="L52" s="250" t="str">
        <f ca="1">IF(pajak[[#This Row],[//]]="","",pajak[[#This Row],[Sub Total]]/1.11*11%)</f>
        <v/>
      </c>
      <c r="M52" s="250" t="str">
        <f ca="1">pajak[[#This Row],[Sub Total]]</f>
        <v/>
      </c>
      <c r="N52" t="str">
        <f ca="1">IF(pajak[[#This Row],[//]]="","",INDEX(Table1[pembuat nota :],pajak[[#This Row],[//]]-offset))</f>
        <v/>
      </c>
      <c r="O52" t="str">
        <f ca="1">IF(pajak[[#This Row],[//]]="","",IF(INDEX(Table1[edited :],pajak[[#This Row],[//]]-offset)="","",INDEX(Table1[edited :],pajak[[#This Row],[//]]-offset)))</f>
        <v/>
      </c>
      <c r="P52" s="250"/>
      <c r="R52" t="str">
        <f>Table4[[#Headers],[AM]]</f>
        <v>AM</v>
      </c>
      <c r="S52">
        <f t="shared" si="3"/>
        <v>24050048</v>
      </c>
      <c r="T52" s="251" t="b">
        <f ca="1">IF(Table4[[#This Row],[AM]]&amp;" "&amp;Table4[[#This Row],[---]]=INDIRECT("pajak[@["&amp;Table4[#Headers]&amp;"]]"),MATCH(Table4[[#This Row],[---]],INDIRECT($3:$3),0))</f>
        <v>0</v>
      </c>
      <c r="U52" s="251" t="b">
        <f ca="1">IF((INDEX(INDIRECT($3:$3),Table4[[#This Row],[No. Invoice :]]+$2:$2))=INDIRECT("pajak[@["&amp;Table4[#Headers]&amp;"]]"),1)</f>
        <v>0</v>
      </c>
      <c r="V52" s="251" t="b">
        <f ca="1">IF((INDEX(INDIRECT($3:$3),Table4[[#This Row],[No. Invoice :]]+$2:$2))=INDIRECT("pajak[@["&amp;Table4[#Headers]&amp;"]]"),1)</f>
        <v>0</v>
      </c>
      <c r="W52" s="251">
        <f ca="1">IF((INDEX(INDIRECT($3:$3),Table4[[#This Row],[No. Invoice :]]+$2:$2))=INDIRECT("pajak[@["&amp;Table4[#Headers]&amp;"]]"),1)</f>
        <v>1</v>
      </c>
      <c r="X52" s="251">
        <f ca="1">IF((INDEX(INDIRECT($3:$3),Table4[[#This Row],[No. Invoice :]]+$2:$2))=INDIRECT("pajak[@["&amp;Table4[#Headers]&amp;"]]"),1)</f>
        <v>1</v>
      </c>
    </row>
    <row r="53" spans="4:24">
      <c r="D53" t="str">
        <f t="shared" ca="1" si="2"/>
        <v/>
      </c>
      <c r="E53" t="str">
        <f ca="1">IF(pajak[[#This Row],[//]]="","",INDEX(Table1[No. Invoice :],pajak[[#This Row],[//]]-offset))</f>
        <v/>
      </c>
      <c r="F53" s="249" t="str">
        <f ca="1">IF(pajak[[#This Row],[//]]="","",INDEX(Table1[Tgl Invoice :],pajak[[#This Row],[//]]-offset))</f>
        <v/>
      </c>
      <c r="G53" t="str">
        <f ca="1">IF(pajak[[#This Row],[//]]="","",INDEX(Table1[Kode Sales :],pajak[[#This Row],[//]]-offset))</f>
        <v/>
      </c>
      <c r="H53" t="str">
        <f ca="1">IF(pajak[[#This Row],[//]]="","",INDEX(Table1[Toko],pajak[[#This Row],[//]]-offset))</f>
        <v/>
      </c>
      <c r="I53" s="250" t="str">
        <f ca="1">IF(pajak[[#This Row],[//]]="","",SUMIF(Table1[h_id],pajak[[#This Row],[//]],Table1[h_hargasebelumdiskon]))</f>
        <v/>
      </c>
      <c r="J53" s="250" t="str">
        <f ca="1">IF(pajak[[#This Row],[//]]="","",SUMIF(Table1[h_id],pajak[[#This Row],[//]],Table1[h_diskon]))</f>
        <v/>
      </c>
      <c r="K53" s="250" t="str">
        <f ca="1">IF(pajak[[#This Row],[//]]="","",SUMIF(Table1[h_id],pajak[[#This Row],[//]],Table1[h_hargasetelahdiskon]))</f>
        <v/>
      </c>
      <c r="L53" s="250" t="str">
        <f ca="1">IF(pajak[[#This Row],[//]]="","",pajak[[#This Row],[Sub Total]]/1.11*11%)</f>
        <v/>
      </c>
      <c r="M53" s="250" t="str">
        <f ca="1">pajak[[#This Row],[Sub Total]]</f>
        <v/>
      </c>
      <c r="N53" t="str">
        <f ca="1">IF(pajak[[#This Row],[//]]="","",INDEX(Table1[pembuat nota :],pajak[[#This Row],[//]]-offset))</f>
        <v/>
      </c>
      <c r="O53" t="str">
        <f ca="1">IF(pajak[[#This Row],[//]]="","",IF(INDEX(Table1[edited :],pajak[[#This Row],[//]]-offset)="","",INDEX(Table1[edited :],pajak[[#This Row],[//]]-offset)))</f>
        <v/>
      </c>
      <c r="P53" s="250"/>
      <c r="R53" t="str">
        <f>Table4[[#Headers],[AM]]</f>
        <v>AM</v>
      </c>
      <c r="S53">
        <f t="shared" si="3"/>
        <v>24050049</v>
      </c>
      <c r="T53" s="251" t="b">
        <f ca="1">IF(Table4[[#This Row],[AM]]&amp;" "&amp;Table4[[#This Row],[---]]=INDIRECT("pajak[@["&amp;Table4[#Headers]&amp;"]]"),MATCH(Table4[[#This Row],[---]],INDIRECT($3:$3),0))</f>
        <v>0</v>
      </c>
      <c r="U53" s="251" t="b">
        <f ca="1">IF((INDEX(INDIRECT($3:$3),Table4[[#This Row],[No. Invoice :]]+$2:$2))=INDIRECT("pajak[@["&amp;Table4[#Headers]&amp;"]]"),1)</f>
        <v>0</v>
      </c>
      <c r="V53" s="251" t="b">
        <f ca="1">IF((INDEX(INDIRECT($3:$3),Table4[[#This Row],[No. Invoice :]]+$2:$2))=INDIRECT("pajak[@["&amp;Table4[#Headers]&amp;"]]"),1)</f>
        <v>0</v>
      </c>
      <c r="W53" s="251">
        <f ca="1">IF((INDEX(INDIRECT($3:$3),Table4[[#This Row],[No. Invoice :]]+$2:$2))=INDIRECT("pajak[@["&amp;Table4[#Headers]&amp;"]]"),1)</f>
        <v>1</v>
      </c>
      <c r="X53" s="251">
        <f ca="1">IF((INDEX(INDIRECT($3:$3),Table4[[#This Row],[No. Invoice :]]+$2:$2))=INDIRECT("pajak[@["&amp;Table4[#Headers]&amp;"]]"),1)</f>
        <v>1</v>
      </c>
    </row>
    <row r="54" spans="4:24">
      <c r="D54" t="str">
        <f t="shared" ca="1" si="2"/>
        <v/>
      </c>
      <c r="E54" t="str">
        <f ca="1">IF(pajak[[#This Row],[//]]="","",INDEX(Table1[No. Invoice :],pajak[[#This Row],[//]]-offset))</f>
        <v/>
      </c>
      <c r="F54" s="249" t="str">
        <f ca="1">IF(pajak[[#This Row],[//]]="","",INDEX(Table1[Tgl Invoice :],pajak[[#This Row],[//]]-offset))</f>
        <v/>
      </c>
      <c r="G54" t="str">
        <f ca="1">IF(pajak[[#This Row],[//]]="","",INDEX(Table1[Kode Sales :],pajak[[#This Row],[//]]-offset))</f>
        <v/>
      </c>
      <c r="H54" t="str">
        <f ca="1">IF(pajak[[#This Row],[//]]="","",INDEX(Table1[Toko],pajak[[#This Row],[//]]-offset))</f>
        <v/>
      </c>
      <c r="I54" s="250" t="str">
        <f ca="1">IF(pajak[[#This Row],[//]]="","",SUMIF(Table1[h_id],pajak[[#This Row],[//]],Table1[h_hargasebelumdiskon]))</f>
        <v/>
      </c>
      <c r="J54" s="250" t="str">
        <f ca="1">IF(pajak[[#This Row],[//]]="","",SUMIF(Table1[h_id],pajak[[#This Row],[//]],Table1[h_diskon]))</f>
        <v/>
      </c>
      <c r="K54" s="250" t="str">
        <f ca="1">IF(pajak[[#This Row],[//]]="","",SUMIF(Table1[h_id],pajak[[#This Row],[//]],Table1[h_hargasetelahdiskon]))</f>
        <v/>
      </c>
      <c r="L54" s="250" t="str">
        <f ca="1">IF(pajak[[#This Row],[//]]="","",pajak[[#This Row],[Sub Total]]/1.11*11%)</f>
        <v/>
      </c>
      <c r="M54" s="250" t="str">
        <f ca="1">pajak[[#This Row],[Sub Total]]</f>
        <v/>
      </c>
      <c r="N54" t="str">
        <f ca="1">IF(pajak[[#This Row],[//]]="","",INDEX(Table1[pembuat nota :],pajak[[#This Row],[//]]-offset))</f>
        <v/>
      </c>
      <c r="O54" t="str">
        <f ca="1">IF(pajak[[#This Row],[//]]="","",IF(INDEX(Table1[edited :],pajak[[#This Row],[//]]-offset)="","",INDEX(Table1[edited :],pajak[[#This Row],[//]]-offset)))</f>
        <v/>
      </c>
      <c r="P54" s="250"/>
      <c r="R54" t="str">
        <f>Table4[[#Headers],[AM]]</f>
        <v>AM</v>
      </c>
      <c r="S54">
        <f t="shared" si="3"/>
        <v>24050050</v>
      </c>
      <c r="T54" s="251" t="b">
        <f ca="1">IF(Table4[[#This Row],[AM]]&amp;" "&amp;Table4[[#This Row],[---]]=INDIRECT("pajak[@["&amp;Table4[#Headers]&amp;"]]"),MATCH(Table4[[#This Row],[---]],INDIRECT($3:$3),0))</f>
        <v>0</v>
      </c>
      <c r="U54" s="251" t="b">
        <f ca="1">IF((INDEX(INDIRECT($3:$3),Table4[[#This Row],[No. Invoice :]]+$2:$2))=INDIRECT("pajak[@["&amp;Table4[#Headers]&amp;"]]"),1)</f>
        <v>0</v>
      </c>
      <c r="V54" s="251" t="b">
        <f ca="1">IF((INDEX(INDIRECT($3:$3),Table4[[#This Row],[No. Invoice :]]+$2:$2))=INDIRECT("pajak[@["&amp;Table4[#Headers]&amp;"]]"),1)</f>
        <v>0</v>
      </c>
      <c r="W54" s="251">
        <f ca="1">IF((INDEX(INDIRECT($3:$3),Table4[[#This Row],[No. Invoice :]]+$2:$2))=INDIRECT("pajak[@["&amp;Table4[#Headers]&amp;"]]"),1)</f>
        <v>1</v>
      </c>
      <c r="X54" s="251">
        <f ca="1">IF((INDEX(INDIRECT($3:$3),Table4[[#This Row],[No. Invoice :]]+$2:$2))=INDIRECT("pajak[@["&amp;Table4[#Headers]&amp;"]]"),1)</f>
        <v>1</v>
      </c>
    </row>
    <row r="55" spans="4:24">
      <c r="D55" t="str">
        <f t="shared" ca="1" si="2"/>
        <v/>
      </c>
      <c r="E55" t="str">
        <f ca="1">IF(pajak[[#This Row],[//]]="","",INDEX(Table1[No. Invoice :],pajak[[#This Row],[//]]-offset))</f>
        <v/>
      </c>
      <c r="F55" s="249" t="str">
        <f ca="1">IF(pajak[[#This Row],[//]]="","",INDEX(Table1[Tgl Invoice :],pajak[[#This Row],[//]]-offset))</f>
        <v/>
      </c>
      <c r="G55" t="str">
        <f ca="1">IF(pajak[[#This Row],[//]]="","",INDEX(Table1[Kode Sales :],pajak[[#This Row],[//]]-offset))</f>
        <v/>
      </c>
      <c r="H55" t="str">
        <f ca="1">IF(pajak[[#This Row],[//]]="","",INDEX(Table1[Toko],pajak[[#This Row],[//]]-offset))</f>
        <v/>
      </c>
      <c r="I55" s="250" t="str">
        <f ca="1">IF(pajak[[#This Row],[//]]="","",SUMIF(Table1[h_id],pajak[[#This Row],[//]],Table1[h_hargasebelumdiskon]))</f>
        <v/>
      </c>
      <c r="J55" s="250" t="str">
        <f ca="1">IF(pajak[[#This Row],[//]]="","",SUMIF(Table1[h_id],pajak[[#This Row],[//]],Table1[h_diskon]))</f>
        <v/>
      </c>
      <c r="K55" s="250" t="str">
        <f ca="1">IF(pajak[[#This Row],[//]]="","",SUMIF(Table1[h_id],pajak[[#This Row],[//]],Table1[h_hargasetelahdiskon]))</f>
        <v/>
      </c>
      <c r="L55" s="250" t="str">
        <f ca="1">IF(pajak[[#This Row],[//]]="","",pajak[[#This Row],[Sub Total]]/1.11*11%)</f>
        <v/>
      </c>
      <c r="M55" s="250" t="str">
        <f ca="1">pajak[[#This Row],[Sub Total]]</f>
        <v/>
      </c>
      <c r="N55" t="str">
        <f ca="1">IF(pajak[[#This Row],[//]]="","",INDEX(Table1[pembuat nota :],pajak[[#This Row],[//]]-offset))</f>
        <v/>
      </c>
      <c r="O55" t="str">
        <f ca="1">IF(pajak[[#This Row],[//]]="","",IF(INDEX(Table1[edited :],pajak[[#This Row],[//]]-offset)="","",INDEX(Table1[edited :],pajak[[#This Row],[//]]-offset)))</f>
        <v/>
      </c>
      <c r="P55" s="250"/>
      <c r="R55" t="str">
        <f>Table4[[#Headers],[AM]]</f>
        <v>AM</v>
      </c>
      <c r="S55">
        <f t="shared" si="3"/>
        <v>24050051</v>
      </c>
      <c r="T55" s="251" t="b">
        <f ca="1">IF(Table4[[#This Row],[AM]]&amp;" "&amp;Table4[[#This Row],[---]]=INDIRECT("pajak[@["&amp;Table4[#Headers]&amp;"]]"),MATCH(Table4[[#This Row],[---]],INDIRECT($3:$3),0))</f>
        <v>0</v>
      </c>
      <c r="U55" s="251" t="b">
        <f ca="1">IF((INDEX(INDIRECT($3:$3),Table4[[#This Row],[No. Invoice :]]+$2:$2))=INDIRECT("pajak[@["&amp;Table4[#Headers]&amp;"]]"),1)</f>
        <v>0</v>
      </c>
      <c r="V55" s="251" t="b">
        <f ca="1">IF((INDEX(INDIRECT($3:$3),Table4[[#This Row],[No. Invoice :]]+$2:$2))=INDIRECT("pajak[@["&amp;Table4[#Headers]&amp;"]]"),1)</f>
        <v>0</v>
      </c>
      <c r="W55" s="251">
        <f ca="1">IF((INDEX(INDIRECT($3:$3),Table4[[#This Row],[No. Invoice :]]+$2:$2))=INDIRECT("pajak[@["&amp;Table4[#Headers]&amp;"]]"),1)</f>
        <v>1</v>
      </c>
      <c r="X55" s="251">
        <f ca="1">IF((INDEX(INDIRECT($3:$3),Table4[[#This Row],[No. Invoice :]]+$2:$2))=INDIRECT("pajak[@["&amp;Table4[#Headers]&amp;"]]"),1)</f>
        <v>1</v>
      </c>
    </row>
    <row r="56" spans="4:24">
      <c r="D56" t="str">
        <f t="shared" ca="1" si="2"/>
        <v/>
      </c>
      <c r="E56" t="str">
        <f ca="1">IF(pajak[[#This Row],[//]]="","",INDEX(Table1[No. Invoice :],pajak[[#This Row],[//]]-offset))</f>
        <v/>
      </c>
      <c r="F56" s="249" t="str">
        <f ca="1">IF(pajak[[#This Row],[//]]="","",INDEX(Table1[Tgl Invoice :],pajak[[#This Row],[//]]-offset))</f>
        <v/>
      </c>
      <c r="G56" t="str">
        <f ca="1">IF(pajak[[#This Row],[//]]="","",INDEX(Table1[Kode Sales :],pajak[[#This Row],[//]]-offset))</f>
        <v/>
      </c>
      <c r="H56" t="str">
        <f ca="1">IF(pajak[[#This Row],[//]]="","",INDEX(Table1[Toko],pajak[[#This Row],[//]]-offset))</f>
        <v/>
      </c>
      <c r="I56" s="250" t="str">
        <f ca="1">IF(pajak[[#This Row],[//]]="","",SUMIF(Table1[h_id],pajak[[#This Row],[//]],Table1[h_hargasebelumdiskon]))</f>
        <v/>
      </c>
      <c r="J56" s="250" t="str">
        <f ca="1">IF(pajak[[#This Row],[//]]="","",SUMIF(Table1[h_id],pajak[[#This Row],[//]],Table1[h_diskon]))</f>
        <v/>
      </c>
      <c r="K56" s="250" t="str">
        <f ca="1">IF(pajak[[#This Row],[//]]="","",SUMIF(Table1[h_id],pajak[[#This Row],[//]],Table1[h_hargasetelahdiskon]))</f>
        <v/>
      </c>
      <c r="L56" s="250" t="str">
        <f ca="1">IF(pajak[[#This Row],[//]]="","",pajak[[#This Row],[Sub Total]]/1.11*11%)</f>
        <v/>
      </c>
      <c r="M56" s="250" t="str">
        <f ca="1">pajak[[#This Row],[Sub Total]]</f>
        <v/>
      </c>
      <c r="N56" t="str">
        <f ca="1">IF(pajak[[#This Row],[//]]="","",INDEX(Table1[pembuat nota :],pajak[[#This Row],[//]]-offset))</f>
        <v/>
      </c>
      <c r="O56" t="str">
        <f ca="1">IF(pajak[[#This Row],[//]]="","",IF(INDEX(Table1[edited :],pajak[[#This Row],[//]]-offset)="","",INDEX(Table1[edited :],pajak[[#This Row],[//]]-offset)))</f>
        <v/>
      </c>
      <c r="P56" s="250"/>
      <c r="R56" t="str">
        <f>Table4[[#Headers],[AM]]</f>
        <v>AM</v>
      </c>
      <c r="S56">
        <f t="shared" si="3"/>
        <v>24050052</v>
      </c>
      <c r="T56" s="251" t="b">
        <f ca="1">IF(Table4[[#This Row],[AM]]&amp;" "&amp;Table4[[#This Row],[---]]=INDIRECT("pajak[@["&amp;Table4[#Headers]&amp;"]]"),MATCH(Table4[[#This Row],[---]],INDIRECT($3:$3),0))</f>
        <v>0</v>
      </c>
      <c r="U56" s="251" t="b">
        <f ca="1">IF((INDEX(INDIRECT($3:$3),Table4[[#This Row],[No. Invoice :]]+$2:$2))=INDIRECT("pajak[@["&amp;Table4[#Headers]&amp;"]]"),1)</f>
        <v>0</v>
      </c>
      <c r="V56" s="251" t="b">
        <f ca="1">IF((INDEX(INDIRECT($3:$3),Table4[[#This Row],[No. Invoice :]]+$2:$2))=INDIRECT("pajak[@["&amp;Table4[#Headers]&amp;"]]"),1)</f>
        <v>0</v>
      </c>
      <c r="W56" s="251">
        <f ca="1">IF((INDEX(INDIRECT($3:$3),Table4[[#This Row],[No. Invoice :]]+$2:$2))=INDIRECT("pajak[@["&amp;Table4[#Headers]&amp;"]]"),1)</f>
        <v>1</v>
      </c>
      <c r="X56" s="251">
        <f ca="1">IF((INDEX(INDIRECT($3:$3),Table4[[#This Row],[No. Invoice :]]+$2:$2))=INDIRECT("pajak[@["&amp;Table4[#Headers]&amp;"]]"),1)</f>
        <v>1</v>
      </c>
    </row>
    <row r="57" spans="4:24">
      <c r="D57" t="str">
        <f t="shared" ca="1" si="2"/>
        <v/>
      </c>
      <c r="E57" t="str">
        <f ca="1">IF(pajak[[#This Row],[//]]="","",INDEX(Table1[No. Invoice :],pajak[[#This Row],[//]]-offset))</f>
        <v/>
      </c>
      <c r="F57" s="249" t="str">
        <f ca="1">IF(pajak[[#This Row],[//]]="","",INDEX(Table1[Tgl Invoice :],pajak[[#This Row],[//]]-offset))</f>
        <v/>
      </c>
      <c r="G57" t="str">
        <f ca="1">IF(pajak[[#This Row],[//]]="","",INDEX(Table1[Kode Sales :],pajak[[#This Row],[//]]-offset))</f>
        <v/>
      </c>
      <c r="H57" t="str">
        <f ca="1">IF(pajak[[#This Row],[//]]="","",INDEX(Table1[Toko],pajak[[#This Row],[//]]-offset))</f>
        <v/>
      </c>
      <c r="I57" s="250" t="str">
        <f ca="1">IF(pajak[[#This Row],[//]]="","",SUMIF(Table1[h_id],pajak[[#This Row],[//]],Table1[h_hargasebelumdiskon]))</f>
        <v/>
      </c>
      <c r="J57" s="250" t="str">
        <f ca="1">IF(pajak[[#This Row],[//]]="","",SUMIF(Table1[h_id],pajak[[#This Row],[//]],Table1[h_diskon]))</f>
        <v/>
      </c>
      <c r="K57" s="250" t="str">
        <f ca="1">IF(pajak[[#This Row],[//]]="","",SUMIF(Table1[h_id],pajak[[#This Row],[//]],Table1[h_hargasetelahdiskon]))</f>
        <v/>
      </c>
      <c r="L57" s="250" t="str">
        <f ca="1">IF(pajak[[#This Row],[//]]="","",pajak[[#This Row],[Sub Total]]/1.11*11%)</f>
        <v/>
      </c>
      <c r="M57" s="250" t="str">
        <f ca="1">pajak[[#This Row],[Sub Total]]</f>
        <v/>
      </c>
      <c r="N57" t="str">
        <f ca="1">IF(pajak[[#This Row],[//]]="","",INDEX(Table1[pembuat nota :],pajak[[#This Row],[//]]-offset))</f>
        <v/>
      </c>
      <c r="O57" t="str">
        <f ca="1">IF(pajak[[#This Row],[//]]="","",IF(INDEX(Table1[edited :],pajak[[#This Row],[//]]-offset)="","",INDEX(Table1[edited :],pajak[[#This Row],[//]]-offset)))</f>
        <v/>
      </c>
      <c r="P57" s="250"/>
      <c r="R57" t="str">
        <f>Table4[[#Headers],[AM]]</f>
        <v>AM</v>
      </c>
      <c r="S57">
        <f t="shared" si="3"/>
        <v>24050053</v>
      </c>
      <c r="T57" s="251" t="b">
        <f ca="1">IF(Table4[[#This Row],[AM]]&amp;" "&amp;Table4[[#This Row],[---]]=INDIRECT("pajak[@["&amp;Table4[#Headers]&amp;"]]"),MATCH(Table4[[#This Row],[---]],INDIRECT($3:$3),0))</f>
        <v>0</v>
      </c>
      <c r="U57" s="251" t="b">
        <f ca="1">IF((INDEX(INDIRECT($3:$3),Table4[[#This Row],[No. Invoice :]]+$2:$2))=INDIRECT("pajak[@["&amp;Table4[#Headers]&amp;"]]"),1)</f>
        <v>0</v>
      </c>
      <c r="V57" s="251" t="b">
        <f ca="1">IF((INDEX(INDIRECT($3:$3),Table4[[#This Row],[No. Invoice :]]+$2:$2))=INDIRECT("pajak[@["&amp;Table4[#Headers]&amp;"]]"),1)</f>
        <v>0</v>
      </c>
      <c r="W57" s="251">
        <f ca="1">IF((INDEX(INDIRECT($3:$3),Table4[[#This Row],[No. Invoice :]]+$2:$2))=INDIRECT("pajak[@["&amp;Table4[#Headers]&amp;"]]"),1)</f>
        <v>1</v>
      </c>
      <c r="X57" s="251">
        <f ca="1">IF((INDEX(INDIRECT($3:$3),Table4[[#This Row],[No. Invoice :]]+$2:$2))=INDIRECT("pajak[@["&amp;Table4[#Headers]&amp;"]]"),1)</f>
        <v>1</v>
      </c>
    </row>
    <row r="58" spans="4:24">
      <c r="D58" t="str">
        <f t="shared" ref="D58:D63" ca="1" si="4">IF(ROW()-(COUNTBLANK($D$1:$D$3)+1)&lt;=jNota,A58,"")</f>
        <v/>
      </c>
      <c r="E58" t="str">
        <f ca="1">IF(pajak[[#This Row],[//]]="","",INDEX(Table1[No. Invoice :],pajak[[#This Row],[//]]-offset))</f>
        <v/>
      </c>
      <c r="F58" s="249" t="str">
        <f ca="1">IF(pajak[[#This Row],[//]]="","",INDEX(Table1[Tgl Invoice :],pajak[[#This Row],[//]]-offset))</f>
        <v/>
      </c>
      <c r="G58" t="str">
        <f ca="1">IF(pajak[[#This Row],[//]]="","",INDEX(Table1[Kode Sales :],pajak[[#This Row],[//]]-offset))</f>
        <v/>
      </c>
      <c r="H58" t="str">
        <f ca="1">IF(pajak[[#This Row],[//]]="","",INDEX(Table1[Toko],pajak[[#This Row],[//]]-offset))</f>
        <v/>
      </c>
      <c r="I58" s="250" t="str">
        <f ca="1">IF(pajak[[#This Row],[//]]="","",SUMIF(Table1[h_id],pajak[[#This Row],[//]],Table1[h_hargasebelumdiskon]))</f>
        <v/>
      </c>
      <c r="J58" s="250" t="str">
        <f ca="1">IF(pajak[[#This Row],[//]]="","",SUMIF(Table1[h_id],pajak[[#This Row],[//]],Table1[h_diskon]))</f>
        <v/>
      </c>
      <c r="K58" s="250" t="str">
        <f ca="1">IF(pajak[[#This Row],[//]]="","",SUMIF(Table1[h_id],pajak[[#This Row],[//]],Table1[h_hargasetelahdiskon]))</f>
        <v/>
      </c>
      <c r="L58" s="250" t="str">
        <f ca="1">IF(pajak[[#This Row],[//]]="","",pajak[[#This Row],[Sub Total]]/1.11*11%)</f>
        <v/>
      </c>
      <c r="M58" s="250" t="str">
        <f ca="1">pajak[[#This Row],[Sub Total]]</f>
        <v/>
      </c>
      <c r="N58" t="str">
        <f ca="1">IF(pajak[[#This Row],[//]]="","",INDEX(Table1[pembuat nota :],pajak[[#This Row],[//]]-offset))</f>
        <v/>
      </c>
      <c r="O58" t="str">
        <f ca="1">IF(pajak[[#This Row],[//]]="","",IF(INDEX(Table1[edited :],pajak[[#This Row],[//]]-offset)="","",INDEX(Table1[edited :],pajak[[#This Row],[//]]-offset)))</f>
        <v/>
      </c>
      <c r="P58" s="250"/>
      <c r="R58" t="str">
        <f>Table4[[#Headers],[AM]]</f>
        <v>AM</v>
      </c>
      <c r="S58">
        <f t="shared" ref="S58:S63" si="5">S$3+ROW()-5</f>
        <v>24050054</v>
      </c>
      <c r="T58" s="251" t="b">
        <f ca="1">IF(Table4[[#This Row],[AM]]&amp;" "&amp;Table4[[#This Row],[---]]=INDIRECT("pajak[@["&amp;Table4[#Headers]&amp;"]]"),MATCH(Table4[[#This Row],[---]],INDIRECT($3:$3),0))</f>
        <v>0</v>
      </c>
      <c r="U58" s="251" t="b">
        <f ca="1">IF((INDEX(INDIRECT($3:$3),Table4[[#This Row],[No. Invoice :]]+$2:$2))=INDIRECT("pajak[@["&amp;Table4[#Headers]&amp;"]]"),1)</f>
        <v>0</v>
      </c>
      <c r="V58" s="251" t="b">
        <f ca="1">IF((INDEX(INDIRECT($3:$3),Table4[[#This Row],[No. Invoice :]]+$2:$2))=INDIRECT("pajak[@["&amp;Table4[#Headers]&amp;"]]"),1)</f>
        <v>0</v>
      </c>
      <c r="W58" s="251">
        <f ca="1">IF((INDEX(INDIRECT($3:$3),Table4[[#This Row],[No. Invoice :]]+$2:$2))=INDIRECT("pajak[@["&amp;Table4[#Headers]&amp;"]]"),1)</f>
        <v>1</v>
      </c>
      <c r="X58" s="251">
        <f ca="1">IF((INDEX(INDIRECT($3:$3),Table4[[#This Row],[No. Invoice :]]+$2:$2))=INDIRECT("pajak[@["&amp;Table4[#Headers]&amp;"]]"),1)</f>
        <v>1</v>
      </c>
    </row>
    <row r="59" spans="4:24">
      <c r="D59" t="str">
        <f t="shared" ca="1" si="4"/>
        <v/>
      </c>
      <c r="E59" t="str">
        <f ca="1">IF(pajak[[#This Row],[//]]="","",INDEX(Table1[No. Invoice :],pajak[[#This Row],[//]]-offset))</f>
        <v/>
      </c>
      <c r="F59" s="249" t="str">
        <f ca="1">IF(pajak[[#This Row],[//]]="","",INDEX(Table1[Tgl Invoice :],pajak[[#This Row],[//]]-offset))</f>
        <v/>
      </c>
      <c r="G59" t="str">
        <f ca="1">IF(pajak[[#This Row],[//]]="","",INDEX(Table1[Kode Sales :],pajak[[#This Row],[//]]-offset))</f>
        <v/>
      </c>
      <c r="H59" t="str">
        <f ca="1">IF(pajak[[#This Row],[//]]="","",INDEX(Table1[Toko],pajak[[#This Row],[//]]-offset))</f>
        <v/>
      </c>
      <c r="I59" s="250" t="str">
        <f ca="1">IF(pajak[[#This Row],[//]]="","",SUMIF(Table1[h_id],pajak[[#This Row],[//]],Table1[h_hargasebelumdiskon]))</f>
        <v/>
      </c>
      <c r="J59" s="250" t="str">
        <f ca="1">IF(pajak[[#This Row],[//]]="","",SUMIF(Table1[h_id],pajak[[#This Row],[//]],Table1[h_diskon]))</f>
        <v/>
      </c>
      <c r="K59" s="250" t="str">
        <f ca="1">IF(pajak[[#This Row],[//]]="","",SUMIF(Table1[h_id],pajak[[#This Row],[//]],Table1[h_hargasetelahdiskon]))</f>
        <v/>
      </c>
      <c r="L59" s="250" t="str">
        <f ca="1">IF(pajak[[#This Row],[//]]="","",pajak[[#This Row],[Sub Total]]/1.11*11%)</f>
        <v/>
      </c>
      <c r="M59" s="250" t="str">
        <f ca="1">pajak[[#This Row],[Sub Total]]</f>
        <v/>
      </c>
      <c r="N59" t="str">
        <f ca="1">IF(pajak[[#This Row],[//]]="","",INDEX(Table1[pembuat nota :],pajak[[#This Row],[//]]-offset))</f>
        <v/>
      </c>
      <c r="O59" t="str">
        <f ca="1">IF(pajak[[#This Row],[//]]="","",IF(INDEX(Table1[edited :],pajak[[#This Row],[//]]-offset)="","",INDEX(Table1[edited :],pajak[[#This Row],[//]]-offset)))</f>
        <v/>
      </c>
      <c r="P59" s="250"/>
      <c r="R59" t="str">
        <f>Table4[[#Headers],[AM]]</f>
        <v>AM</v>
      </c>
      <c r="S59">
        <f t="shared" si="5"/>
        <v>24050055</v>
      </c>
      <c r="T59" s="251" t="b">
        <f ca="1">IF(Table4[[#This Row],[AM]]&amp;" "&amp;Table4[[#This Row],[---]]=INDIRECT("pajak[@["&amp;Table4[#Headers]&amp;"]]"),MATCH(Table4[[#This Row],[---]],INDIRECT($3:$3),0))</f>
        <v>0</v>
      </c>
      <c r="U59" s="251" t="b">
        <f ca="1">IF((INDEX(INDIRECT($3:$3),Table4[[#This Row],[No. Invoice :]]+$2:$2))=INDIRECT("pajak[@["&amp;Table4[#Headers]&amp;"]]"),1)</f>
        <v>0</v>
      </c>
      <c r="V59" s="251" t="b">
        <f ca="1">IF((INDEX(INDIRECT($3:$3),Table4[[#This Row],[No. Invoice :]]+$2:$2))=INDIRECT("pajak[@["&amp;Table4[#Headers]&amp;"]]"),1)</f>
        <v>0</v>
      </c>
      <c r="W59" s="251">
        <f ca="1">IF((INDEX(INDIRECT($3:$3),Table4[[#This Row],[No. Invoice :]]+$2:$2))=INDIRECT("pajak[@["&amp;Table4[#Headers]&amp;"]]"),1)</f>
        <v>1</v>
      </c>
      <c r="X59" s="251">
        <f ca="1">IF((INDEX(INDIRECT($3:$3),Table4[[#This Row],[No. Invoice :]]+$2:$2))=INDIRECT("pajak[@["&amp;Table4[#Headers]&amp;"]]"),1)</f>
        <v>1</v>
      </c>
    </row>
    <row r="60" spans="4:24">
      <c r="D60" t="str">
        <f t="shared" ca="1" si="4"/>
        <v/>
      </c>
      <c r="E60" t="str">
        <f ca="1">IF(pajak[[#This Row],[//]]="","",INDEX(Table1[No. Invoice :],pajak[[#This Row],[//]]-offset))</f>
        <v/>
      </c>
      <c r="F60" s="249" t="str">
        <f ca="1">IF(pajak[[#This Row],[//]]="","",INDEX(Table1[Tgl Invoice :],pajak[[#This Row],[//]]-offset))</f>
        <v/>
      </c>
      <c r="G60" t="str">
        <f ca="1">IF(pajak[[#This Row],[//]]="","",INDEX(Table1[Kode Sales :],pajak[[#This Row],[//]]-offset))</f>
        <v/>
      </c>
      <c r="H60" t="str">
        <f ca="1">IF(pajak[[#This Row],[//]]="","",INDEX(Table1[Toko],pajak[[#This Row],[//]]-offset))</f>
        <v/>
      </c>
      <c r="I60" s="250" t="str">
        <f ca="1">IF(pajak[[#This Row],[//]]="","",SUMIF(Table1[h_id],pajak[[#This Row],[//]],Table1[h_hargasebelumdiskon]))</f>
        <v/>
      </c>
      <c r="J60" s="250" t="str">
        <f ca="1">IF(pajak[[#This Row],[//]]="","",SUMIF(Table1[h_id],pajak[[#This Row],[//]],Table1[h_diskon]))</f>
        <v/>
      </c>
      <c r="K60" s="250" t="str">
        <f ca="1">IF(pajak[[#This Row],[//]]="","",SUMIF(Table1[h_id],pajak[[#This Row],[//]],Table1[h_hargasetelahdiskon]))</f>
        <v/>
      </c>
      <c r="L60" s="250" t="str">
        <f ca="1">IF(pajak[[#This Row],[//]]="","",pajak[[#This Row],[Sub Total]]/1.11*11%)</f>
        <v/>
      </c>
      <c r="M60" s="250" t="str">
        <f ca="1">pajak[[#This Row],[Sub Total]]</f>
        <v/>
      </c>
      <c r="N60" t="str">
        <f ca="1">IF(pajak[[#This Row],[//]]="","",INDEX(Table1[pembuat nota :],pajak[[#This Row],[//]]-offset))</f>
        <v/>
      </c>
      <c r="O60" t="str">
        <f ca="1">IF(pajak[[#This Row],[//]]="","",IF(INDEX(Table1[edited :],pajak[[#This Row],[//]]-offset)="","",INDEX(Table1[edited :],pajak[[#This Row],[//]]-offset)))</f>
        <v/>
      </c>
      <c r="P60" s="250"/>
      <c r="R60" t="str">
        <f>Table4[[#Headers],[AM]]</f>
        <v>AM</v>
      </c>
      <c r="S60">
        <f t="shared" si="5"/>
        <v>24050056</v>
      </c>
      <c r="T60" s="251" t="b">
        <f ca="1">IF(Table4[[#This Row],[AM]]&amp;" "&amp;Table4[[#This Row],[---]]=INDIRECT("pajak[@["&amp;Table4[#Headers]&amp;"]]"),MATCH(Table4[[#This Row],[---]],INDIRECT($3:$3),0))</f>
        <v>0</v>
      </c>
      <c r="U60" s="251" t="b">
        <f ca="1">IF((INDEX(INDIRECT($3:$3),Table4[[#This Row],[No. Invoice :]]+$2:$2))=INDIRECT("pajak[@["&amp;Table4[#Headers]&amp;"]]"),1)</f>
        <v>0</v>
      </c>
      <c r="V60" s="251" t="b">
        <f ca="1">IF((INDEX(INDIRECT($3:$3),Table4[[#This Row],[No. Invoice :]]+$2:$2))=INDIRECT("pajak[@["&amp;Table4[#Headers]&amp;"]]"),1)</f>
        <v>0</v>
      </c>
      <c r="W60" s="251">
        <f ca="1">IF((INDEX(INDIRECT($3:$3),Table4[[#This Row],[No. Invoice :]]+$2:$2))=INDIRECT("pajak[@["&amp;Table4[#Headers]&amp;"]]"),1)</f>
        <v>1</v>
      </c>
      <c r="X60" s="251">
        <f ca="1">IF((INDEX(INDIRECT($3:$3),Table4[[#This Row],[No. Invoice :]]+$2:$2))=INDIRECT("pajak[@["&amp;Table4[#Headers]&amp;"]]"),1)</f>
        <v>1</v>
      </c>
    </row>
    <row r="61" spans="4:24">
      <c r="D61" t="str">
        <f t="shared" ca="1" si="4"/>
        <v/>
      </c>
      <c r="E61" t="str">
        <f ca="1">IF(pajak[[#This Row],[//]]="","",INDEX(Table1[No. Invoice :],pajak[[#This Row],[//]]-offset))</f>
        <v/>
      </c>
      <c r="F61" s="249" t="str">
        <f ca="1">IF(pajak[[#This Row],[//]]="","",INDEX(Table1[Tgl Invoice :],pajak[[#This Row],[//]]-offset))</f>
        <v/>
      </c>
      <c r="G61" t="str">
        <f ca="1">IF(pajak[[#This Row],[//]]="","",INDEX(Table1[Kode Sales :],pajak[[#This Row],[//]]-offset))</f>
        <v/>
      </c>
      <c r="H61" t="str">
        <f ca="1">IF(pajak[[#This Row],[//]]="","",INDEX(Table1[Toko],pajak[[#This Row],[//]]-offset))</f>
        <v/>
      </c>
      <c r="I61" s="250" t="str">
        <f ca="1">IF(pajak[[#This Row],[//]]="","",SUMIF(Table1[h_id],pajak[[#This Row],[//]],Table1[h_hargasebelumdiskon]))</f>
        <v/>
      </c>
      <c r="J61" s="250" t="str">
        <f ca="1">IF(pajak[[#This Row],[//]]="","",SUMIF(Table1[h_id],pajak[[#This Row],[//]],Table1[h_diskon]))</f>
        <v/>
      </c>
      <c r="K61" s="250" t="str">
        <f ca="1">IF(pajak[[#This Row],[//]]="","",SUMIF(Table1[h_id],pajak[[#This Row],[//]],Table1[h_hargasetelahdiskon]))</f>
        <v/>
      </c>
      <c r="L61" s="250" t="str">
        <f ca="1">IF(pajak[[#This Row],[//]]="","",pajak[[#This Row],[Sub Total]]/1.11*11%)</f>
        <v/>
      </c>
      <c r="M61" s="250" t="str">
        <f ca="1">pajak[[#This Row],[Sub Total]]</f>
        <v/>
      </c>
      <c r="N61" t="str">
        <f ca="1">IF(pajak[[#This Row],[//]]="","",INDEX(Table1[pembuat nota :],pajak[[#This Row],[//]]-offset))</f>
        <v/>
      </c>
      <c r="O61" t="str">
        <f ca="1">IF(pajak[[#This Row],[//]]="","",IF(INDEX(Table1[edited :],pajak[[#This Row],[//]]-offset)="","",INDEX(Table1[edited :],pajak[[#This Row],[//]]-offset)))</f>
        <v/>
      </c>
      <c r="P61" s="250"/>
      <c r="R61" t="str">
        <f>Table4[[#Headers],[AM]]</f>
        <v>AM</v>
      </c>
      <c r="S61">
        <f t="shared" si="5"/>
        <v>24050057</v>
      </c>
      <c r="T61" s="251" t="b">
        <f ca="1">IF(Table4[[#This Row],[AM]]&amp;" "&amp;Table4[[#This Row],[---]]=INDIRECT("pajak[@["&amp;Table4[#Headers]&amp;"]]"),MATCH(Table4[[#This Row],[---]],INDIRECT($3:$3),0))</f>
        <v>0</v>
      </c>
      <c r="U61" s="251" t="b">
        <f ca="1">IF((INDEX(INDIRECT($3:$3),Table4[[#This Row],[No. Invoice :]]+$2:$2))=INDIRECT("pajak[@["&amp;Table4[#Headers]&amp;"]]"),1)</f>
        <v>0</v>
      </c>
      <c r="V61" s="251" t="b">
        <f ca="1">IF((INDEX(INDIRECT($3:$3),Table4[[#This Row],[No. Invoice :]]+$2:$2))=INDIRECT("pajak[@["&amp;Table4[#Headers]&amp;"]]"),1)</f>
        <v>0</v>
      </c>
      <c r="W61" s="251">
        <f ca="1">IF((INDEX(INDIRECT($3:$3),Table4[[#This Row],[No. Invoice :]]+$2:$2))=INDIRECT("pajak[@["&amp;Table4[#Headers]&amp;"]]"),1)</f>
        <v>1</v>
      </c>
      <c r="X61" s="251">
        <f ca="1">IF((INDEX(INDIRECT($3:$3),Table4[[#This Row],[No. Invoice :]]+$2:$2))=INDIRECT("pajak[@["&amp;Table4[#Headers]&amp;"]]"),1)</f>
        <v>1</v>
      </c>
    </row>
    <row r="62" spans="4:24">
      <c r="D62" t="str">
        <f t="shared" ca="1" si="4"/>
        <v/>
      </c>
      <c r="E62" t="str">
        <f ca="1">IF(pajak[[#This Row],[//]]="","",INDEX(Table1[No. Invoice :],pajak[[#This Row],[//]]-offset))</f>
        <v/>
      </c>
      <c r="F62" s="249" t="str">
        <f ca="1">IF(pajak[[#This Row],[//]]="","",INDEX(Table1[Tgl Invoice :],pajak[[#This Row],[//]]-offset))</f>
        <v/>
      </c>
      <c r="G62" t="str">
        <f ca="1">IF(pajak[[#This Row],[//]]="","",INDEX(Table1[Kode Sales :],pajak[[#This Row],[//]]-offset))</f>
        <v/>
      </c>
      <c r="H62" t="str">
        <f ca="1">IF(pajak[[#This Row],[//]]="","",INDEX(Table1[Toko],pajak[[#This Row],[//]]-offset))</f>
        <v/>
      </c>
      <c r="I62" s="250" t="str">
        <f ca="1">IF(pajak[[#This Row],[//]]="","",SUMIF(Table1[h_id],pajak[[#This Row],[//]],Table1[h_hargasebelumdiskon]))</f>
        <v/>
      </c>
      <c r="J62" s="250" t="str">
        <f ca="1">IF(pajak[[#This Row],[//]]="","",SUMIF(Table1[h_id],pajak[[#This Row],[//]],Table1[h_diskon]))</f>
        <v/>
      </c>
      <c r="K62" s="250" t="str">
        <f ca="1">IF(pajak[[#This Row],[//]]="","",SUMIF(Table1[h_id],pajak[[#This Row],[//]],Table1[h_hargasetelahdiskon]))</f>
        <v/>
      </c>
      <c r="L62" s="250" t="str">
        <f ca="1">IF(pajak[[#This Row],[//]]="","",pajak[[#This Row],[Sub Total]]/1.11*11%)</f>
        <v/>
      </c>
      <c r="M62" s="250" t="str">
        <f ca="1">pajak[[#This Row],[Sub Total]]</f>
        <v/>
      </c>
      <c r="N62" t="str">
        <f ca="1">IF(pajak[[#This Row],[//]]="","",INDEX(Table1[pembuat nota :],pajak[[#This Row],[//]]-offset))</f>
        <v/>
      </c>
      <c r="O62" t="str">
        <f ca="1">IF(pajak[[#This Row],[//]]="","",IF(INDEX(Table1[edited :],pajak[[#This Row],[//]]-offset)="","",INDEX(Table1[edited :],pajak[[#This Row],[//]]-offset)))</f>
        <v/>
      </c>
      <c r="P62" s="250"/>
      <c r="R62" t="str">
        <f>Table4[[#Headers],[AM]]</f>
        <v>AM</v>
      </c>
      <c r="S62">
        <f t="shared" si="5"/>
        <v>24050058</v>
      </c>
      <c r="T62" s="251" t="b">
        <f ca="1">IF(Table4[[#This Row],[AM]]&amp;" "&amp;Table4[[#This Row],[---]]=INDIRECT("pajak[@["&amp;Table4[#Headers]&amp;"]]"),MATCH(Table4[[#This Row],[---]],INDIRECT($3:$3),0))</f>
        <v>0</v>
      </c>
      <c r="U62" s="251" t="b">
        <f ca="1">IF((INDEX(INDIRECT($3:$3),Table4[[#This Row],[No. Invoice :]]+$2:$2))=INDIRECT("pajak[@["&amp;Table4[#Headers]&amp;"]]"),1)</f>
        <v>0</v>
      </c>
      <c r="V62" s="251" t="b">
        <f ca="1">IF((INDEX(INDIRECT($3:$3),Table4[[#This Row],[No. Invoice :]]+$2:$2))=INDIRECT("pajak[@["&amp;Table4[#Headers]&amp;"]]"),1)</f>
        <v>0</v>
      </c>
      <c r="W62" s="251">
        <f ca="1">IF((INDEX(INDIRECT($3:$3),Table4[[#This Row],[No. Invoice :]]+$2:$2))=INDIRECT("pajak[@["&amp;Table4[#Headers]&amp;"]]"),1)</f>
        <v>1</v>
      </c>
      <c r="X62" s="251">
        <f ca="1">IF((INDEX(INDIRECT($3:$3),Table4[[#This Row],[No. Invoice :]]+$2:$2))=INDIRECT("pajak[@["&amp;Table4[#Headers]&amp;"]]"),1)</f>
        <v>1</v>
      </c>
    </row>
    <row r="63" spans="4:24">
      <c r="D63" t="str">
        <f t="shared" ca="1" si="4"/>
        <v/>
      </c>
      <c r="E63" t="str">
        <f ca="1">IF(pajak[[#This Row],[//]]="","",INDEX(Table1[No. Invoice :],pajak[[#This Row],[//]]-offset))</f>
        <v/>
      </c>
      <c r="F63" s="249" t="str">
        <f ca="1">IF(pajak[[#This Row],[//]]="","",INDEX(Table1[Tgl Invoice :],pajak[[#This Row],[//]]-offset))</f>
        <v/>
      </c>
      <c r="G63" t="str">
        <f ca="1">IF(pajak[[#This Row],[//]]="","",INDEX(Table1[Kode Sales :],pajak[[#This Row],[//]]-offset))</f>
        <v/>
      </c>
      <c r="H63" t="str">
        <f ca="1">IF(pajak[[#This Row],[//]]="","",INDEX(Table1[Toko],pajak[[#This Row],[//]]-offset))</f>
        <v/>
      </c>
      <c r="I63" s="250" t="str">
        <f ca="1">IF(pajak[[#This Row],[//]]="","",SUMIF(Table1[h_id],pajak[[#This Row],[//]],Table1[h_hargasebelumdiskon]))</f>
        <v/>
      </c>
      <c r="J63" s="250" t="str">
        <f ca="1">IF(pajak[[#This Row],[//]]="","",SUMIF(Table1[h_id],pajak[[#This Row],[//]],Table1[h_diskon]))</f>
        <v/>
      </c>
      <c r="K63" s="250" t="str">
        <f ca="1">IF(pajak[[#This Row],[//]]="","",SUMIF(Table1[h_id],pajak[[#This Row],[//]],Table1[h_hargasetelahdiskon]))</f>
        <v/>
      </c>
      <c r="L63" s="250" t="str">
        <f ca="1">IF(pajak[[#This Row],[//]]="","",pajak[[#This Row],[Sub Total]]/1.11*11%)</f>
        <v/>
      </c>
      <c r="M63" s="250" t="str">
        <f ca="1">pajak[[#This Row],[Sub Total]]</f>
        <v/>
      </c>
      <c r="N63" t="str">
        <f ca="1">IF(pajak[[#This Row],[//]]="","",INDEX(Table1[pembuat nota :],pajak[[#This Row],[//]]-offset))</f>
        <v/>
      </c>
      <c r="O63" t="str">
        <f ca="1">IF(pajak[[#This Row],[//]]="","",IF(INDEX(Table1[edited :],pajak[[#This Row],[//]]-offset)="","",INDEX(Table1[edited :],pajak[[#This Row],[//]]-offset)))</f>
        <v/>
      </c>
      <c r="P63" s="250"/>
      <c r="R63" t="str">
        <f>Table4[[#Headers],[AM]]</f>
        <v>AM</v>
      </c>
      <c r="S63">
        <f t="shared" si="5"/>
        <v>24050059</v>
      </c>
      <c r="T63" s="251" t="b">
        <f ca="1">IF(Table4[[#This Row],[AM]]&amp;" "&amp;Table4[[#This Row],[---]]=INDIRECT("pajak[@["&amp;Table4[#Headers]&amp;"]]"),MATCH(Table4[[#This Row],[---]],INDIRECT($3:$3),0))</f>
        <v>0</v>
      </c>
      <c r="U63" s="251" t="b">
        <f ca="1">IF((INDEX(INDIRECT($3:$3),Table4[[#This Row],[No. Invoice :]]+$2:$2))=INDIRECT("pajak[@["&amp;Table4[#Headers]&amp;"]]"),1)</f>
        <v>0</v>
      </c>
      <c r="V63" s="251" t="b">
        <f ca="1">IF((INDEX(INDIRECT($3:$3),Table4[[#This Row],[No. Invoice :]]+$2:$2))=INDIRECT("pajak[@["&amp;Table4[#Headers]&amp;"]]"),1)</f>
        <v>0</v>
      </c>
      <c r="W63" s="251">
        <f ca="1">IF((INDEX(INDIRECT($3:$3),Table4[[#This Row],[No. Invoice :]]+$2:$2))=INDIRECT("pajak[@["&amp;Table4[#Headers]&amp;"]]"),1)</f>
        <v>1</v>
      </c>
      <c r="X63" s="251">
        <f ca="1">IF((INDEX(INDIRECT($3:$3),Table4[[#This Row],[No. Invoice :]]+$2:$2))=INDIRECT("pajak[@["&amp;Table4[#Headers]&amp;"]]"),1)</f>
        <v>1</v>
      </c>
    </row>
    <row r="64" spans="4:24">
      <c r="D64" t="s">
        <v>48</v>
      </c>
      <c r="F64"/>
      <c r="I64" s="250">
        <f ca="1">SUBTOTAL(109,pajak[Total])</f>
        <v>242338684</v>
      </c>
      <c r="J64" s="250">
        <f ca="1">SUBTOTAL(109,pajak[Diskon])</f>
        <v>28854081</v>
      </c>
      <c r="K64" s="250">
        <f ca="1">SUBTOTAL(109,pajak[Sub Total])</f>
        <v>213484603</v>
      </c>
      <c r="L64" s="250">
        <f ca="1">SUBTOTAL(109,pajak[PPN 11%])</f>
        <v>21156131.828828834</v>
      </c>
      <c r="M64" s="250">
        <f ca="1">SUBTOTAL(109,pajak[Total Invoice])</f>
        <v>213484603</v>
      </c>
    </row>
  </sheetData>
  <conditionalFormatting sqref="G65:G1048576 G3:G63">
    <cfRule type="duplicateValues" dxfId="38" priority="17"/>
  </conditionalFormatting>
  <conditionalFormatting sqref="T1:X2 T4:X1048576">
    <cfRule type="containsText" dxfId="37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15"/>
  <sheetViews>
    <sheetView view="pageLayout" topLeftCell="A42" zoomScaleNormal="85" workbookViewId="0">
      <selection activeCell="C51" sqref="C51"/>
    </sheetView>
  </sheetViews>
  <sheetFormatPr defaultColWidth="9.140625" defaultRowHeight="15" outlineLevelRow="1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>
      <c r="A1">
        <f ca="1">IF(K1="",MAX(Table1[//]),INDEX(Table1[//],MATCH(K1,Table1[//],0)))</f>
        <v>177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DHIAN</v>
      </c>
      <c r="F1" t="s">
        <v>43</v>
      </c>
      <c r="G1">
        <f ca="1">INDEX(Table1[h_jumlahbarang],newestIdRow-offset)</f>
        <v>5</v>
      </c>
      <c r="I1" s="453" t="s">
        <v>70</v>
      </c>
      <c r="J1" s="453"/>
    </row>
    <row r="2" spans="1:12" ht="7.5" customHeight="1" collapsed="1">
      <c r="A2" s="2"/>
      <c r="D2" s="3"/>
      <c r="I2" s="4"/>
      <c r="J2" s="4" t="s">
        <v>96</v>
      </c>
      <c r="K2" t="s">
        <v>99</v>
      </c>
    </row>
    <row r="3" spans="1:12" s="8" customFormat="1" ht="16.5" customHeight="1">
      <c r="A3" s="5"/>
      <c r="B3" s="1" t="s">
        <v>1</v>
      </c>
      <c r="C3" s="6"/>
      <c r="D3" s="73" t="s">
        <v>15</v>
      </c>
      <c r="E3" s="7">
        <f ca="1">INDEX(Table1[h_No. Invoice :],newestIdRow-offset)</f>
        <v>24050038</v>
      </c>
      <c r="G3" s="9" t="s">
        <v>16</v>
      </c>
      <c r="H3" s="460" t="str">
        <f ca="1">INDEX(Table2[b],MATCH(kToko,Table2[a],0))</f>
        <v>CV GITA CAHYA</v>
      </c>
      <c r="I3" s="460"/>
      <c r="J3" s="460"/>
      <c r="K3" s="461"/>
      <c r="L3" s="10"/>
    </row>
    <row r="4" spans="1:12" s="8" customFormat="1" ht="7.5" customHeight="1">
      <c r="A4" s="5"/>
      <c r="B4" s="11"/>
      <c r="C4" s="12"/>
      <c r="D4" s="13"/>
      <c r="E4" s="14"/>
      <c r="F4" s="464" t="s">
        <v>18</v>
      </c>
      <c r="G4" s="15"/>
      <c r="H4" s="462"/>
      <c r="I4" s="462"/>
      <c r="J4" s="462"/>
      <c r="K4" s="463"/>
      <c r="L4" s="10"/>
    </row>
    <row r="5" spans="1:12" s="8" customFormat="1" ht="16.5" customHeight="1">
      <c r="A5" s="5"/>
      <c r="B5" s="1" t="s">
        <v>2</v>
      </c>
      <c r="C5" s="6"/>
      <c r="D5" s="465">
        <f ca="1">INDEX(Table1[Tgl Invoice :],newestIdRow-offset)</f>
        <v>45441</v>
      </c>
      <c r="E5" s="466"/>
      <c r="F5" s="464"/>
      <c r="G5" s="16"/>
      <c r="H5" s="467" t="str">
        <f ca="1">IF(INDEX(Table2[c],MATCH(kToko,Table2[a],0))="","",INDEX(Table2[c],MATCH(kToko,Table2[a],0)))</f>
        <v>( DHIAN )</v>
      </c>
      <c r="I5" s="467"/>
      <c r="J5" s="467"/>
      <c r="K5" s="468"/>
      <c r="L5" s="16"/>
    </row>
    <row r="6" spans="1:12" s="8" customFormat="1" ht="7.5" customHeight="1">
      <c r="A6" s="5"/>
      <c r="B6" s="11"/>
      <c r="C6" s="12"/>
      <c r="D6" s="13"/>
      <c r="E6" s="14"/>
      <c r="F6" s="464"/>
      <c r="G6" s="16"/>
      <c r="H6" s="469" t="str">
        <f ca="1">INDEX(Table2[d],MATCH(kToko,Table2[a],0))</f>
        <v>BANJARNEGARA</v>
      </c>
      <c r="I6" s="469"/>
      <c r="J6" s="469"/>
      <c r="K6" s="470"/>
      <c r="L6" s="17"/>
    </row>
    <row r="7" spans="1:12" s="8" customFormat="1" ht="16.5" customHeight="1">
      <c r="A7" s="5"/>
      <c r="B7" s="1" t="s">
        <v>3</v>
      </c>
      <c r="C7" s="6"/>
      <c r="D7" s="18" t="str">
        <f ca="1">INDEX(Table1[Kode Sales :],newestIdRow-offset)</f>
        <v>A 4839</v>
      </c>
      <c r="E7" s="7"/>
      <c r="F7" s="19"/>
      <c r="G7" s="20"/>
      <c r="H7" s="471"/>
      <c r="I7" s="471"/>
      <c r="J7" s="471"/>
      <c r="K7" s="472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4.25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>
        <f ca="1">IF(A11&gt;jumlahBarang,"",INDEX(Table1[Qty],newestIdRow-offset+A11-1))</f>
        <v>12</v>
      </c>
      <c r="C11" s="43" t="str">
        <f ca="1">IF(A11&gt;jumlahBarang,"",UPPER((INDEX(Table1[Unit],newestIdRow-offset+A11-1))))</f>
        <v>LSN</v>
      </c>
      <c r="D11" s="44" t="str">
        <f ca="1">IF(A11&gt;jumlahBarang,"",IF(INDEX(Table1[C],newestIdRow-offset+A11-1)="","",INDEX(Table1[C],newestIdRow-offset+A11-1)))</f>
        <v/>
      </c>
      <c r="E11" s="45" t="str">
        <f ca="1">IF(A11&gt;jumlahBarang,"",INDEX(Table1[Column12],newestIdRow-offset+A11-1))</f>
        <v>BALLPEN KENKO K-80</v>
      </c>
      <c r="G11" s="46"/>
      <c r="H11" s="47">
        <f ca="1">IF(A11&gt;jumlahBarang,"",INDEX(Table1[Column13],newestIdRow-offset+A11-1))</f>
        <v>28200</v>
      </c>
      <c r="I11" s="48">
        <f ca="1">IF(A11&gt;jumlahBarang,"",IF(INDEX(Table1[Column14],newestIdRow-offset+A11-1)="","",INDEX(Table1[Column14],newestIdRow-offset+A11-1)))</f>
        <v>0.1</v>
      </c>
      <c r="J11" s="48" t="str">
        <f ca="1">IF(A11&gt;jumlahBarang,"",IF(INDEX(Table1[Column15],newestIdRow-offset+A11-1)="","",INDEX(Table1[Column15],newestIdRow-offset+A11-1)))</f>
        <v/>
      </c>
      <c r="K11" s="49">
        <f ca="1">IF(A11&gt;jumlahBarang,"",INDEX(Table1[Amount],newestIdRow-offset+A11-1))</f>
        <v>304560</v>
      </c>
      <c r="L11" s="33"/>
    </row>
    <row r="12" spans="1:12" s="8" customFormat="1" ht="14.1" customHeight="1">
      <c r="A12" s="42">
        <v>2</v>
      </c>
      <c r="B12" s="43">
        <f ca="1">IF(A12&gt;jumlahBarang,"",INDEX(Table1[Qty],newestIdRow-offset+A12-1))</f>
        <v>36</v>
      </c>
      <c r="C12" s="43" t="str">
        <f ca="1">IF(A12&gt;jumlahBarang,"",UPPER((INDEX(Table1[Unit],newestIdRow-offset+A12-1))))</f>
        <v>PCS</v>
      </c>
      <c r="D12" s="44" t="str">
        <f ca="1">IF(A12&gt;jumlahBarang,"",IF(INDEX(Table1[C],newestIdRow-offset+A12-1)="","",INDEX(Table1[C],newestIdRow-offset+A12-1)))</f>
        <v/>
      </c>
      <c r="E12" s="45" t="str">
        <f ca="1">IF(A12&gt;jumlahBarang,"",INDEX(Table1[Column12],newestIdRow-offset+A12-1))</f>
        <v xml:space="preserve">PENSIL WARNA KENKO BI-COLOR NMCP-12FBC </v>
      </c>
      <c r="G12" s="46"/>
      <c r="H12" s="47">
        <f ca="1">IF(A12&gt;jumlahBarang,"",INDEX(Table1[Column13],newestIdRow-offset+A12-1))</f>
        <v>15000</v>
      </c>
      <c r="I12" s="48">
        <f ca="1">IF(A12&gt;jumlahBarang,"",IF(INDEX(Table1[Column14],newestIdRow-offset+A12-1)="","",INDEX(Table1[Column14],newestIdRow-offset+A12-1)))</f>
        <v>0.1</v>
      </c>
      <c r="J12" s="48" t="str">
        <f ca="1">IF(A12&gt;jumlahBarang,"",IF(INDEX(Table1[Column15],newestIdRow-offset+A12-1)="","",INDEX(Table1[Column15],newestIdRow-offset+A12-1)))</f>
        <v/>
      </c>
      <c r="K12" s="49">
        <f ca="1">IF(A12&gt;jumlahBarang,"",INDEX(Table1[Amount],newestIdRow-offset+A12-1))</f>
        <v>486000</v>
      </c>
      <c r="L12" s="33"/>
    </row>
    <row r="13" spans="1:12" s="8" customFormat="1" ht="14.1" customHeight="1">
      <c r="A13" s="42">
        <v>3</v>
      </c>
      <c r="B13" s="43">
        <f ca="1">IF(A13&gt;jumlahBarang,"",INDEX(Table1[Qty],newestIdRow-offset+A13-1))</f>
        <v>12</v>
      </c>
      <c r="C13" s="43" t="str">
        <f ca="1">IF(A13&gt;jumlahBarang,"",UPPER((INDEX(Table1[Unit],newestIdRow-offset+A13-1))))</f>
        <v>PCS</v>
      </c>
      <c r="D13" s="44" t="str">
        <f ca="1">IF(A13&gt;jumlahBarang,"",IF(INDEX(Table1[C],newestIdRow-offset+A13-1)="","",INDEX(Table1[C],newestIdRow-offset+A13-1)))</f>
        <v/>
      </c>
      <c r="E13" s="45" t="str">
        <f ca="1">IF(A13&gt;jumlahBarang,"",INDEX(Table1[Column12],newestIdRow-offset+A13-1))</f>
        <v xml:space="preserve">PENSIL WARNA KENKO BI-COLOR CP-24FBC </v>
      </c>
      <c r="G13" s="46"/>
      <c r="H13" s="47">
        <f ca="1">IF(A13&gt;jumlahBarang,"",INDEX(Table1[Column13],newestIdRow-offset+A13-1))</f>
        <v>24500</v>
      </c>
      <c r="I13" s="48">
        <f ca="1">IF(A13&gt;jumlahBarang,"",IF(INDEX(Table1[Column14],newestIdRow-offset+A13-1)="","",INDEX(Table1[Column14],newestIdRow-offset+A13-1)))</f>
        <v>0.1</v>
      </c>
      <c r="J13" s="48" t="str">
        <f ca="1">IF(A13&gt;jumlahBarang,"",IF(INDEX(Table1[Column15],newestIdRow-offset+A13-1)="","",INDEX(Table1[Column15],newestIdRow-offset+A13-1)))</f>
        <v/>
      </c>
      <c r="K13" s="49">
        <f ca="1">IF(A13&gt;jumlahBarang,"",INDEX(Table1[Amount],newestIdRow-offset+A13-1))</f>
        <v>264600</v>
      </c>
      <c r="L13" s="33"/>
    </row>
    <row r="14" spans="1:12" s="8" customFormat="1" ht="14.1" customHeight="1">
      <c r="A14" s="42">
        <v>4</v>
      </c>
      <c r="B14" s="43">
        <f ca="1">IF(A14&gt;jumlahBarang,"",INDEX(Table1[Qty],newestIdRow-offset+A14-1))</f>
        <v>24</v>
      </c>
      <c r="C14" s="43" t="str">
        <f ca="1">IF(A14&gt;jumlahBarang,"",UPPER((INDEX(Table1[Unit],newestIdRow-offset+A14-1))))</f>
        <v>PCS</v>
      </c>
      <c r="D14" s="44" t="str">
        <f ca="1">IF(A14&gt;jumlahBarang,"",IF(INDEX(Table1[C],newestIdRow-offset+A14-1)="","",INDEX(Table1[C],newestIdRow-offset+A14-1)))</f>
        <v/>
      </c>
      <c r="E14" s="45" t="str">
        <f ca="1">IF(A14&gt;jumlahBarang,"",INDEX(Table1[Column12],newestIdRow-offset+A14-1))</f>
        <v>PENSIL WARNA KENKO NCP-12C</v>
      </c>
      <c r="G14" s="46"/>
      <c r="H14" s="47">
        <f ca="1">IF(A14&gt;jumlahBarang,"",INDEX(Table1[Column13],newestIdRow-offset+A14-1))</f>
        <v>13000</v>
      </c>
      <c r="I14" s="48">
        <f ca="1">IF(A14&gt;jumlahBarang,"",IF(INDEX(Table1[Column14],newestIdRow-offset+A14-1)="","",INDEX(Table1[Column14],newestIdRow-offset+A14-1)))</f>
        <v>0.1</v>
      </c>
      <c r="J14" s="48" t="str">
        <f ca="1">IF(A14&gt;jumlahBarang,"",IF(INDEX(Table1[Column15],newestIdRow-offset+A14-1)="","",INDEX(Table1[Column15],newestIdRow-offset+A14-1)))</f>
        <v/>
      </c>
      <c r="K14" s="49">
        <f ca="1">IF(A14&gt;jumlahBarang,"",INDEX(Table1[Amount],newestIdRow-offset+A14-1))</f>
        <v>280800</v>
      </c>
      <c r="L14" s="33"/>
    </row>
    <row r="15" spans="1:12" s="8" customFormat="1" ht="14.1" customHeight="1">
      <c r="A15" s="42">
        <v>5</v>
      </c>
      <c r="B15" s="43">
        <f ca="1">IF(A15&gt;jumlahBarang,"",INDEX(Table1[Qty],newestIdRow-offset+A15-1))</f>
        <v>10</v>
      </c>
      <c r="C15" s="43" t="str">
        <f ca="1">IF(A15&gt;jumlahBarang,"",UPPER((INDEX(Table1[Unit],newestIdRow-offset+A15-1))))</f>
        <v>LSN</v>
      </c>
      <c r="D15" s="44" t="str">
        <f ca="1">IF(A15&gt;jumlahBarang,"",IF(INDEX(Table1[C],newestIdRow-offset+A15-1)="","",INDEX(Table1[C],newestIdRow-offset+A15-1)))</f>
        <v/>
      </c>
      <c r="E15" s="45" t="str">
        <f ca="1">IF(A15&gt;jumlahBarang,"",INDEX(Table1[Column12],newestIdRow-offset+A15-1))</f>
        <v>LEM CAIR 35 ML KENKO LG-35</v>
      </c>
      <c r="G15" s="46"/>
      <c r="H15" s="47">
        <f ca="1">IF(A15&gt;jumlahBarang,"",INDEX(Table1[Column13],newestIdRow-offset+A15-1))</f>
        <v>19800</v>
      </c>
      <c r="I15" s="48">
        <f ca="1">IF(A15&gt;jumlahBarang,"",IF(INDEX(Table1[Column14],newestIdRow-offset+A15-1)="","",INDEX(Table1[Column14],newestIdRow-offset+A15-1)))</f>
        <v>0.1</v>
      </c>
      <c r="J15" s="48" t="str">
        <f ca="1">IF(A15&gt;jumlahBarang,"",IF(INDEX(Table1[Column15],newestIdRow-offset+A15-1)="","",INDEX(Table1[Column15],newestIdRow-offset+A15-1)))</f>
        <v/>
      </c>
      <c r="K15" s="49">
        <f ca="1">IF(A15&gt;jumlahBarang,"",INDEX(Table1[Amount],newestIdRow-offset+A15-1))</f>
        <v>178200</v>
      </c>
      <c r="L15" s="33"/>
    </row>
    <row r="16" spans="1:12" s="8" customFormat="1" ht="14.1" customHeight="1">
      <c r="A16" s="42">
        <v>6</v>
      </c>
      <c r="B16" s="43" t="str">
        <f ca="1">IF(A16&gt;jumlahBarang,"",INDEX(Table1[Qty],newestIdRow-offset+A16-1))</f>
        <v/>
      </c>
      <c r="C16" s="43" t="str">
        <f ca="1">IF(A16&gt;jumlahBarang,"",UPPER((INDEX(Table1[Unit],newestIdRow-offset+A16-1))))</f>
        <v/>
      </c>
      <c r="D16" s="44" t="str">
        <f ca="1">IF(A16&gt;jumlahBarang,"",IF(INDEX(Table1[C],newestIdRow-offset+A16-1)="","",INDEX(Table1[C],newestIdRow-offset+A16-1)))</f>
        <v/>
      </c>
      <c r="E16" s="45" t="str">
        <f ca="1">IF(A16&gt;jumlahBarang,"",INDEX(Table1[Column12],newestIdRow-offset+A16-1))</f>
        <v/>
      </c>
      <c r="G16" s="46"/>
      <c r="H16" s="47" t="str">
        <f ca="1">IF(A16&gt;jumlahBarang,"",INDEX(Table1[Column13],newestIdRow-offset+A16-1))</f>
        <v/>
      </c>
      <c r="I16" s="48" t="str">
        <f ca="1">IF(A16&gt;jumlahBarang,"",IF(INDEX(Table1[Column14],newestIdRow-offset+A16-1)="","",INDEX(Table1[Column14],newestIdRow-offset+A16-1)))</f>
        <v/>
      </c>
      <c r="J16" s="48" t="str">
        <f ca="1">IF(A16&gt;jumlahBarang,"",IF(INDEX(Table1[Column15],newestIdRow-offset+A16-1)="","",INDEX(Table1[Column15],newestIdRow-offset+A16-1)))</f>
        <v/>
      </c>
      <c r="K16" s="49" t="str">
        <f ca="1">IF(A16&gt;jumlahBarang,"",INDEX(Table1[Amount],newestIdRow-offset+A16-1))</f>
        <v/>
      </c>
      <c r="L16" s="33"/>
    </row>
    <row r="17" spans="1:12" s="8" customFormat="1" ht="14.1" customHeight="1">
      <c r="A17" s="42">
        <v>7</v>
      </c>
      <c r="B17" s="43" t="str">
        <f ca="1">IF(A17&gt;jumlahBarang,"",INDEX(Table1[Qty],newestIdRow-offset+A17-1))</f>
        <v/>
      </c>
      <c r="C17" s="43" t="str">
        <f ca="1">IF(A17&gt;jumlahBarang,"",UPPER((INDEX(Table1[Unit],newestIdRow-offset+A17-1))))</f>
        <v/>
      </c>
      <c r="D17" s="44" t="str">
        <f ca="1">IF(A17&gt;jumlahBarang,"",IF(INDEX(Table1[C],newestIdRow-offset+A17-1)="","",INDEX(Table1[C],newestIdRow-offset+A17-1)))</f>
        <v/>
      </c>
      <c r="E17" s="45" t="str">
        <f ca="1">IF(A17&gt;jumlahBarang,"",INDEX(Table1[Column12],newestIdRow-offset+A17-1))</f>
        <v/>
      </c>
      <c r="G17" s="46"/>
      <c r="H17" s="47" t="str">
        <f ca="1">IF(A17&gt;jumlahBarang,"",INDEX(Table1[Column13],newestIdRow-offset+A17-1))</f>
        <v/>
      </c>
      <c r="I17" s="48" t="str">
        <f ca="1">IF(A17&gt;jumlahBarang,"",IF(INDEX(Table1[Column14],newestIdRow-offset+A17-1)="","",INDEX(Table1[Column14],newestIdRow-offset+A17-1)))</f>
        <v/>
      </c>
      <c r="J17" s="48" t="str">
        <f ca="1">IF(A17&gt;jumlahBarang,"",IF(INDEX(Table1[Column15],newestIdRow-offset+A17-1)="","",INDEX(Table1[Column15],newestIdRow-offset+A17-1)))</f>
        <v/>
      </c>
      <c r="K17" s="49" t="str">
        <f ca="1">IF(A17&gt;jumlahBarang,"",INDEX(Table1[Amount],newestIdRow-offset+A17-1))</f>
        <v/>
      </c>
      <c r="L17" s="33"/>
    </row>
    <row r="18" spans="1:12" s="8" customFormat="1" ht="14.1" customHeight="1">
      <c r="A18" s="42">
        <v>8</v>
      </c>
      <c r="B18" s="43" t="str">
        <f ca="1">IF(A18&gt;jumlahBarang,"",INDEX(Table1[Qty],newestIdRow-offset+A18-1))</f>
        <v/>
      </c>
      <c r="C18" s="43" t="str">
        <f ca="1">IF(A18&gt;jumlahBarang,"",UPPER((INDEX(Table1[Unit],newestIdRow-offset+A18-1))))</f>
        <v/>
      </c>
      <c r="D18" s="44" t="str">
        <f ca="1">IF(A18&gt;jumlahBarang,"",IF(INDEX(Table1[C],newestIdRow-offset+A18-1)="","",INDEX(Table1[C],newestIdRow-offset+A18-1)))</f>
        <v/>
      </c>
      <c r="E18" s="45" t="str">
        <f ca="1">IF(A18&gt;jumlahBarang,"",INDEX(Table1[Column12],newestIdRow-offset+A18-1))</f>
        <v/>
      </c>
      <c r="G18" s="46"/>
      <c r="H18" s="47" t="str">
        <f ca="1">IF(A18&gt;jumlahBarang,"",INDEX(Table1[Column13],newestIdRow-offset+A18-1))</f>
        <v/>
      </c>
      <c r="I18" s="48" t="str">
        <f ca="1">IF(A18&gt;jumlahBarang,"",IF(INDEX(Table1[Column14],newestIdRow-offset+A18-1)="","",INDEX(Table1[Column14],newestIdRow-offset+A18-1)))</f>
        <v/>
      </c>
      <c r="J18" s="48" t="str">
        <f ca="1">IF(A18&gt;jumlahBarang,"",IF(INDEX(Table1[Column15],newestIdRow-offset+A18-1)="","",INDEX(Table1[Column15],newestIdRow-offset+A18-1)))</f>
        <v/>
      </c>
      <c r="K18" s="49" t="str">
        <f ca="1">IF(A18&gt;jumlahBarang,"",INDEX(Table1[Amount],newestIdRow-offset+A18-1))</f>
        <v/>
      </c>
      <c r="L18" s="33"/>
    </row>
    <row r="19" spans="1:12" s="8" customFormat="1" ht="14.1" customHeight="1">
      <c r="A19" s="42">
        <v>9</v>
      </c>
      <c r="B19" s="43" t="str">
        <f ca="1">IF(A19&gt;jumlahBarang,"",INDEX(Table1[Qty],newestIdRow-offset+A19-1))</f>
        <v/>
      </c>
      <c r="C19" s="43" t="str">
        <f ca="1">IF(A19&gt;jumlahBarang,"",UPPER((INDEX(Table1[Unit],newestIdRow-offset+A19-1))))</f>
        <v/>
      </c>
      <c r="D19" s="44" t="str">
        <f ca="1">IF(A19&gt;jumlahBarang,"",IF(INDEX(Table1[C],newestIdRow-offset+A19-1)="","",INDEX(Table1[C],newestIdRow-offset+A19-1)))</f>
        <v/>
      </c>
      <c r="E19" s="45" t="str">
        <f ca="1">IF(A19&gt;jumlahBarang,"",INDEX(Table1[Column12],newestIdRow-offset+A19-1))</f>
        <v/>
      </c>
      <c r="G19" s="46"/>
      <c r="H19" s="47" t="str">
        <f ca="1">IF(A19&gt;jumlahBarang,"",INDEX(Table1[Column13],newestIdRow-offset+A19-1))</f>
        <v/>
      </c>
      <c r="I19" s="48" t="str">
        <f ca="1">IF(A19&gt;jumlahBarang,"",IF(INDEX(Table1[Column14],newestIdRow-offset+A19-1)="","",INDEX(Table1[Column14],newestIdRow-offset+A19-1)))</f>
        <v/>
      </c>
      <c r="J19" s="48" t="str">
        <f ca="1">IF(A19&gt;jumlahBarang,"",IF(INDEX(Table1[Column15],newestIdRow-offset+A19-1)="","",INDEX(Table1[Column15],newestIdRow-offset+A19-1)))</f>
        <v/>
      </c>
      <c r="K19" s="49" t="str">
        <f ca="1">IF(A19&gt;jumlahBarang,"",INDEX(Table1[Amount],newestIdRow-offset+A19-1))</f>
        <v/>
      </c>
      <c r="L19" s="33"/>
    </row>
    <row r="20" spans="1:12" s="8" customFormat="1" ht="14.1" customHeight="1">
      <c r="A20" s="42">
        <v>10</v>
      </c>
      <c r="B20" s="43" t="str">
        <f ca="1">IF(A20&gt;jumlahBarang,"",INDEX(Table1[Qty],newestIdRow-offset+A20-1))</f>
        <v/>
      </c>
      <c r="C20" s="43" t="str">
        <f ca="1">IF(A20&gt;jumlahBarang,"",UPPER((INDEX(Table1[Unit],newestIdRow-offset+A20-1))))</f>
        <v/>
      </c>
      <c r="D20" s="44" t="str">
        <f ca="1">IF(A20&gt;jumlahBarang,"",IF(INDEX(Table1[C],newestIdRow-offset+A20-1)="","",INDEX(Table1[C],newestIdRow-offset+A20-1)))</f>
        <v/>
      </c>
      <c r="E20" s="45" t="str">
        <f ca="1">IF(A20&gt;jumlahBarang,"",INDEX(Table1[Column12],newestIdRow-offset+A20-1))</f>
        <v/>
      </c>
      <c r="G20" s="46"/>
      <c r="H20" s="47" t="str">
        <f ca="1">IF(A20&gt;jumlahBarang,"",INDEX(Table1[Column13],newestIdRow-offset+A20-1))</f>
        <v/>
      </c>
      <c r="I20" s="48" t="str">
        <f ca="1">IF(A20&gt;jumlahBarang,"",IF(INDEX(Table1[Column14],newestIdRow-offset+A20-1)="","",INDEX(Table1[Column14],newestIdRow-offset+A20-1)))</f>
        <v/>
      </c>
      <c r="J20" s="48" t="str">
        <f ca="1">IF(A20&gt;jumlahBarang,"",IF(INDEX(Table1[Column15],newestIdRow-offset+A20-1)="","",INDEX(Table1[Column15],newestIdRow-offset+A20-1)))</f>
        <v/>
      </c>
      <c r="K20" s="49" t="str">
        <f ca="1">IF(A20&gt;jumlahBarang,"",INDEX(Table1[Amount],newestIdRow-offset+A20-1))</f>
        <v/>
      </c>
      <c r="L20" s="33"/>
    </row>
    <row r="21" spans="1:12" s="8" customFormat="1" ht="14.1" customHeight="1">
      <c r="A21" s="42">
        <v>11</v>
      </c>
      <c r="B21" s="43" t="str">
        <f ca="1">IF(A21&gt;jumlahBarang,"",INDEX(Table1[Qty],newestIdRow-offset+A21-1))</f>
        <v/>
      </c>
      <c r="C21" s="43" t="str">
        <f ca="1">IF(A21&gt;jumlahBarang,"",UPPER((INDEX(Table1[Unit],newestIdRow-offset+A21-1))))</f>
        <v/>
      </c>
      <c r="D21" s="44" t="str">
        <f ca="1">IF(A21&gt;jumlahBarang,"",IF(INDEX(Table1[C],newestIdRow-offset+A21-1)="","",INDEX(Table1[C],newestIdRow-offset+A21-1)))</f>
        <v/>
      </c>
      <c r="E21" s="45" t="str">
        <f ca="1">IF(A21&gt;jumlahBarang,"",INDEX(Table1[Column12],newestIdRow-offset+A21-1))</f>
        <v/>
      </c>
      <c r="G21" s="46"/>
      <c r="H21" s="47" t="str">
        <f ca="1">IF(A21&gt;jumlahBarang,"",INDEX(Table1[Column13],newestIdRow-offset+A21-1))</f>
        <v/>
      </c>
      <c r="I21" s="48" t="str">
        <f ca="1">IF(A21&gt;jumlahBarang,"",IF(INDEX(Table1[Column14],newestIdRow-offset+A21-1)="","",INDEX(Table1[Column14],newestIdRow-offset+A21-1)))</f>
        <v/>
      </c>
      <c r="J21" s="48" t="str">
        <f ca="1">IF(A21&gt;jumlahBarang,"",IF(INDEX(Table1[Column15],newestIdRow-offset+A21-1)="","",INDEX(Table1[Column15],newestIdRow-offset+A21-1)))</f>
        <v/>
      </c>
      <c r="K21" s="49" t="str">
        <f ca="1">IF(A21&gt;jumlahBarang,"",INDEX(Table1[Amount],newestIdRow-offset+A21-1))</f>
        <v/>
      </c>
      <c r="L21" s="33"/>
    </row>
    <row r="22" spans="1:12" s="8" customFormat="1" ht="14.1" customHeight="1">
      <c r="A22" s="42">
        <v>12</v>
      </c>
      <c r="B22" s="43" t="str">
        <f ca="1">IF(A22&gt;jumlahBarang,"",INDEX(Table1[Qty],newestIdRow-offset+A22-1))</f>
        <v/>
      </c>
      <c r="C22" s="43" t="str">
        <f ca="1">IF(A22&gt;jumlahBarang,"",UPPER((INDEX(Table1[Unit],newestIdRow-offset+A22-1))))</f>
        <v/>
      </c>
      <c r="D22" s="44" t="str">
        <f ca="1">IF(A22&gt;jumlahBarang,"",IF(INDEX(Table1[C],newestIdRow-offset+A22-1)="","",INDEX(Table1[C],newestIdRow-offset+A22-1)))</f>
        <v/>
      </c>
      <c r="E22" s="45" t="str">
        <f ca="1">IF(A22&gt;jumlahBarang,"",INDEX(Table1[Column12],newestIdRow-offset+A22-1))</f>
        <v/>
      </c>
      <c r="G22" s="46"/>
      <c r="H22" s="47" t="str">
        <f ca="1">IF(A22&gt;jumlahBarang,"",INDEX(Table1[Column13],newestIdRow-offset+A22-1))</f>
        <v/>
      </c>
      <c r="I22" s="48" t="str">
        <f ca="1">IF(A22&gt;jumlahBarang,"",IF(INDEX(Table1[Column14],newestIdRow-offset+A22-1)="","",INDEX(Table1[Column14],newestIdRow-offset+A22-1)))</f>
        <v/>
      </c>
      <c r="J22" s="48" t="str">
        <f ca="1">IF(A22&gt;jumlahBarang,"",IF(INDEX(Table1[Column15],newestIdRow-offset+A22-1)="","",INDEX(Table1[Column15],newestIdRow-offset+A22-1)))</f>
        <v/>
      </c>
      <c r="K22" s="49" t="str">
        <f ca="1">IF(A22&gt;jumlahBarang,"",INDEX(Table1[Amount],newestIdRow-offset+A22-1))</f>
        <v/>
      </c>
      <c r="L22" s="33"/>
    </row>
    <row r="23" spans="1:12" s="8" customFormat="1" ht="14.1" customHeight="1">
      <c r="A23" s="42">
        <v>13</v>
      </c>
      <c r="B23" s="43" t="str">
        <f ca="1">IF(A23&gt;jumlahBarang,"",INDEX(Table1[Qty],newestIdRow-offset+A23-1))</f>
        <v/>
      </c>
      <c r="C23" s="43" t="str">
        <f ca="1">IF(A23&gt;jumlahBarang,"",UPPER((INDEX(Table1[Unit],newestIdRow-offset+A23-1))))</f>
        <v/>
      </c>
      <c r="D23" s="44" t="str">
        <f ca="1">IF(A23&gt;jumlahBarang,"",IF(INDEX(Table1[C],newestIdRow-offset+A23-1)="","",INDEX(Table1[C],newestIdRow-offset+A23-1)))</f>
        <v/>
      </c>
      <c r="E23" s="45" t="str">
        <f ca="1">IF(A23&gt;jumlahBarang,"",INDEX(Table1[Column12],newestIdRow-offset+A23-1))</f>
        <v/>
      </c>
      <c r="G23" s="46"/>
      <c r="H23" s="47" t="str">
        <f ca="1">IF(A23&gt;jumlahBarang,"",INDEX(Table1[Column13],newestIdRow-offset+A23-1))</f>
        <v/>
      </c>
      <c r="I23" s="48" t="str">
        <f ca="1">IF(A23&gt;jumlahBarang,"",IF(INDEX(Table1[Column14],newestIdRow-offset+A23-1)="","",INDEX(Table1[Column14],newestIdRow-offset+A23-1)))</f>
        <v/>
      </c>
      <c r="J23" s="48" t="str">
        <f ca="1">IF(A23&gt;jumlahBarang,"",IF(INDEX(Table1[Column15],newestIdRow-offset+A23-1)="","",INDEX(Table1[Column15],newestIdRow-offset+A23-1)))</f>
        <v/>
      </c>
      <c r="K23" s="49" t="str">
        <f ca="1">IF(A23&gt;jumlahBarang,"",INDEX(Table1[Amount],newestIdRow-offset+A23-1))</f>
        <v/>
      </c>
      <c r="L23" s="33"/>
    </row>
    <row r="24" spans="1:12" s="8" customFormat="1" ht="14.1" customHeight="1">
      <c r="A24" s="42">
        <v>14</v>
      </c>
      <c r="B24" s="43" t="str">
        <f ca="1">IF(A24&gt;jumlahBarang,"",INDEX(Table1[Qty],newestIdRow-offset+A24-1))</f>
        <v/>
      </c>
      <c r="C24" s="43" t="str">
        <f ca="1">IF(A24&gt;jumlahBarang,"",UPPER((INDEX(Table1[Unit],newestIdRow-offset+A24-1))))</f>
        <v/>
      </c>
      <c r="D24" s="44" t="str">
        <f ca="1">IF(A24&gt;jumlahBarang,"",IF(INDEX(Table1[C],newestIdRow-offset+A24-1)="","",INDEX(Table1[C],newestIdRow-offset+A24-1)))</f>
        <v/>
      </c>
      <c r="E24" s="45" t="str">
        <f ca="1">IF(A24&gt;jumlahBarang,"",INDEX(Table1[Column12],newestIdRow-offset+A24-1))</f>
        <v/>
      </c>
      <c r="G24" s="46"/>
      <c r="H24" s="47" t="str">
        <f ca="1">IF(A24&gt;jumlahBarang,"",INDEX(Table1[Column13],newestIdRow-offset+A24-1))</f>
        <v/>
      </c>
      <c r="I24" s="48" t="str">
        <f ca="1">IF(A24&gt;jumlahBarang,"",IF(INDEX(Table1[Column14],newestIdRow-offset+A24-1)="","",INDEX(Table1[Column14],newestIdRow-offset+A24-1)))</f>
        <v/>
      </c>
      <c r="J24" s="48" t="str">
        <f ca="1">IF(A24&gt;jumlahBarang,"",IF(INDEX(Table1[Column15],newestIdRow-offset+A24-1)="","",INDEX(Table1[Column15],newestIdRow-offset+A24-1)))</f>
        <v/>
      </c>
      <c r="K24" s="49" t="str">
        <f ca="1">IF(A24&gt;jumlahBarang,"",INDEX(Table1[Amount],newestIdRow-offset+A24-1))</f>
        <v/>
      </c>
      <c r="L24" s="33"/>
    </row>
    <row r="25" spans="1:12" s="8" customFormat="1" ht="14.1" customHeight="1">
      <c r="A25" s="42">
        <v>15</v>
      </c>
      <c r="B25" s="43" t="str">
        <f ca="1">IF(A25&gt;jumlahBarang,"",INDEX(Table1[Qty],newestIdRow-offset+A25-1))</f>
        <v/>
      </c>
      <c r="C25" s="43" t="str">
        <f ca="1">IF(A25&gt;jumlahBarang,"",UPPER((INDEX(Table1[Unit],newestIdRow-offset+A25-1))))</f>
        <v/>
      </c>
      <c r="D25" s="44" t="str">
        <f ca="1">IF(A25&gt;jumlahBarang,"",IF(INDEX(Table1[C],newestIdRow-offset+A25-1)="","",INDEX(Table1[C],newestIdRow-offset+A25-1)))</f>
        <v/>
      </c>
      <c r="E25" s="45" t="str">
        <f ca="1">IF(A25&gt;jumlahBarang,"",INDEX(Table1[Column12],newestIdRow-offset+A25-1))</f>
        <v/>
      </c>
      <c r="G25" s="46"/>
      <c r="H25" s="47" t="str">
        <f ca="1">IF(A25&gt;jumlahBarang,"",INDEX(Table1[Column13],newestIdRow-offset+A25-1))</f>
        <v/>
      </c>
      <c r="I25" s="48" t="str">
        <f ca="1">IF(A25&gt;jumlahBarang,"",IF(INDEX(Table1[Column14],newestIdRow-offset+A25-1)="","",INDEX(Table1[Column14],newestIdRow-offset+A25-1)))</f>
        <v/>
      </c>
      <c r="J25" s="48" t="str">
        <f ca="1">IF(A25&gt;jumlahBarang,"",IF(INDEX(Table1[Column15],newestIdRow-offset+A25-1)="","",INDEX(Table1[Column15],newestIdRow-offset+A25-1)))</f>
        <v/>
      </c>
      <c r="K25" s="49" t="str">
        <f ca="1">IF(A25&gt;jumlahBarang,"",INDEX(Table1[Amount],newestIdRow-offset+A25-1))</f>
        <v/>
      </c>
      <c r="L25" s="33"/>
    </row>
    <row r="26" spans="1:12" s="8" customFormat="1" ht="14.1" customHeight="1">
      <c r="A26" s="42">
        <v>16</v>
      </c>
      <c r="B26" s="43" t="str">
        <f ca="1">IF(A26&gt;jumlahBarang,"",INDEX(Table1[Qty],newestIdRow-offset+A26-1))</f>
        <v/>
      </c>
      <c r="C26" s="43" t="str">
        <f ca="1">IF(A26&gt;jumlahBarang,"",UPPER((INDEX(Table1[Unit],newestIdRow-offset+A26-1))))</f>
        <v/>
      </c>
      <c r="D26" s="44" t="str">
        <f ca="1">IF(A26&gt;jumlahBarang,"",IF(INDEX(Table1[C],newestIdRow-offset+A26-1)="","",INDEX(Table1[C],newestIdRow-offset+A26-1)))</f>
        <v/>
      </c>
      <c r="E26" s="45" t="str">
        <f ca="1">IF(A26&gt;jumlahBarang,"",INDEX(Table1[Column12],newestIdRow-offset+A26-1))</f>
        <v/>
      </c>
      <c r="G26" s="46"/>
      <c r="H26" s="47" t="str">
        <f ca="1">IF(A26&gt;jumlahBarang,"",INDEX(Table1[Column13],newestIdRow-offset+A26-1))</f>
        <v/>
      </c>
      <c r="I26" s="48" t="str">
        <f ca="1">IF(A26&gt;jumlahBarang,"",IF(INDEX(Table1[Column14],newestIdRow-offset+A26-1)="","",INDEX(Table1[Column14],newestIdRow-offset+A26-1)))</f>
        <v/>
      </c>
      <c r="J26" s="48" t="str">
        <f ca="1">IF(A26&gt;jumlahBarang,"",IF(INDEX(Table1[Column15],newestIdRow-offset+A26-1)="","",INDEX(Table1[Column15],newestIdRow-offset+A26-1)))</f>
        <v/>
      </c>
      <c r="K26" s="49" t="str">
        <f ca="1">IF(A26&gt;jumlahBarang,"",INDEX(Table1[Amount],newestIdRow-offset+A26-1))</f>
        <v/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459"/>
      <c r="K28" s="459"/>
    </row>
    <row r="29" spans="1:12" s="8" customFormat="1" ht="16.5" customHeight="1">
      <c r="A29" s="5"/>
      <c r="B29" s="58"/>
      <c r="C29" s="58"/>
      <c r="D29" s="23"/>
      <c r="I29" s="60" t="s">
        <v>21</v>
      </c>
      <c r="J29" s="456">
        <f ca="1">INDEX(pajak[Sub Total],MATCH(newestIdRow,pajak[//],0))</f>
        <v>1514160</v>
      </c>
      <c r="K29" s="457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458"/>
      <c r="K30" s="458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>
        <f ca="1">J29*J31</f>
        <v>0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459"/>
      <c r="K32" s="459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456">
        <f ca="1">INDEX(pajak[PPN 11%],MATCH(newestIdRow,pajak[//],0))</f>
        <v>150051.89189189186</v>
      </c>
      <c r="K33" s="457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459"/>
      <c r="K34" s="459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>
        <f ca="1">INDEX(pajak[Total Invoice],MATCH(newestIdRow,pajak[//],0))</f>
        <v>1514160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150"/>
      <c r="I37" s="151" t="s">
        <v>12</v>
      </c>
      <c r="J37" s="454" t="str">
        <f ca="1">INDEX(pajak[pembuat nota],MATCH(newestIdRow,pajak[//],0))</f>
        <v>NOVI / CONDRO</v>
      </c>
      <c r="K37" s="455"/>
    </row>
    <row r="38" spans="1:12" s="8" customFormat="1" ht="13.5" customHeight="1">
      <c r="A38" s="5"/>
      <c r="B38" s="5"/>
      <c r="H38" s="150"/>
      <c r="I38" s="152" t="s">
        <v>13</v>
      </c>
      <c r="J38" s="454" t="str">
        <f ca="1">INDEX(pajak[edited],MATCH(newestIdRow,pajak[//],0))</f>
        <v/>
      </c>
      <c r="K38" s="455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>
        <f ca="1">E3</f>
        <v>24050038</v>
      </c>
      <c r="F41" s="165"/>
      <c r="G41" s="166" t="s">
        <v>16</v>
      </c>
      <c r="H41" s="473" t="str">
        <f ca="1">H3</f>
        <v>CV GITA CAHYA</v>
      </c>
      <c r="I41" s="473"/>
      <c r="J41" s="473"/>
      <c r="K41" s="474"/>
      <c r="L41" s="167"/>
    </row>
    <row r="42" spans="1:12" s="8" customFormat="1" ht="7.5" customHeight="1">
      <c r="A42" s="160"/>
      <c r="B42" s="168"/>
      <c r="C42" s="169"/>
      <c r="D42" s="170"/>
      <c r="E42" s="171"/>
      <c r="F42" s="477" t="s">
        <v>18</v>
      </c>
      <c r="G42" s="172"/>
      <c r="H42" s="475"/>
      <c r="I42" s="475"/>
      <c r="J42" s="475"/>
      <c r="K42" s="476"/>
      <c r="L42" s="167"/>
    </row>
    <row r="43" spans="1:12" s="8" customFormat="1" ht="16.5" customHeight="1">
      <c r="A43" s="160"/>
      <c r="B43" s="161" t="s">
        <v>2</v>
      </c>
      <c r="C43" s="162"/>
      <c r="D43" s="478">
        <f ca="1">D5</f>
        <v>45441</v>
      </c>
      <c r="E43" s="479"/>
      <c r="F43" s="477"/>
      <c r="G43" s="173"/>
      <c r="H43" s="480" t="str">
        <f ca="1">H5</f>
        <v>( DHIAN )</v>
      </c>
      <c r="I43" s="480"/>
      <c r="J43" s="480"/>
      <c r="K43" s="481"/>
      <c r="L43" s="174"/>
    </row>
    <row r="44" spans="1:12" s="8" customFormat="1" ht="7.5" customHeight="1">
      <c r="A44" s="160"/>
      <c r="B44" s="168"/>
      <c r="C44" s="169"/>
      <c r="D44" s="170"/>
      <c r="E44" s="171"/>
      <c r="F44" s="477"/>
      <c r="G44" s="173"/>
      <c r="H44" s="482" t="str">
        <f ca="1">H6</f>
        <v>BANJARNEGARA</v>
      </c>
      <c r="I44" s="482"/>
      <c r="J44" s="482"/>
      <c r="K44" s="483"/>
      <c r="L44" s="175"/>
    </row>
    <row r="45" spans="1:12" s="8" customFormat="1" ht="16.5" customHeight="1">
      <c r="A45" s="160"/>
      <c r="B45" s="161" t="s">
        <v>3</v>
      </c>
      <c r="C45" s="162"/>
      <c r="D45" s="176" t="str">
        <f ca="1">D7</f>
        <v>A 4839</v>
      </c>
      <c r="E45" s="164"/>
      <c r="F45" s="177"/>
      <c r="G45" s="178"/>
      <c r="H45" s="484"/>
      <c r="I45" s="484"/>
      <c r="J45" s="484"/>
      <c r="K45" s="485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>
        <f t="shared" ref="B49:E64" ca="1" si="0">B11</f>
        <v>12</v>
      </c>
      <c r="C49" s="203" t="str">
        <f t="shared" ca="1" si="0"/>
        <v>LSN</v>
      </c>
      <c r="D49" s="204" t="str">
        <f t="shared" ca="1" si="0"/>
        <v/>
      </c>
      <c r="E49" s="205" t="str">
        <f t="shared" ca="1" si="0"/>
        <v>BALLPEN KENKO K-80</v>
      </c>
      <c r="F49" s="182"/>
      <c r="G49" s="206"/>
      <c r="H49" s="207">
        <f t="shared" ref="H49:K64" ca="1" si="1">H11</f>
        <v>28200</v>
      </c>
      <c r="I49" s="208">
        <f t="shared" ca="1" si="1"/>
        <v>0.1</v>
      </c>
      <c r="J49" s="208" t="str">
        <f t="shared" ca="1" si="1"/>
        <v/>
      </c>
      <c r="K49" s="209">
        <f t="shared" ca="1" si="1"/>
        <v>304560</v>
      </c>
      <c r="L49" s="193"/>
    </row>
    <row r="50" spans="1:12" s="8" customFormat="1" ht="14.1" customHeight="1">
      <c r="A50" s="202">
        <v>2</v>
      </c>
      <c r="B50" s="426">
        <f t="shared" ca="1" si="0"/>
        <v>36</v>
      </c>
      <c r="C50" s="203" t="str">
        <f t="shared" ca="1" si="0"/>
        <v>PCS</v>
      </c>
      <c r="D50" s="204" t="str">
        <f t="shared" ca="1" si="0"/>
        <v/>
      </c>
      <c r="E50" s="205" t="str">
        <f t="shared" ca="1" si="0"/>
        <v xml:space="preserve">PENSIL WARNA KENKO BI-COLOR NMCP-12FBC </v>
      </c>
      <c r="F50" s="182"/>
      <c r="G50" s="206"/>
      <c r="H50" s="207">
        <f t="shared" ca="1" si="1"/>
        <v>15000</v>
      </c>
      <c r="I50" s="208">
        <f t="shared" ca="1" si="1"/>
        <v>0.1</v>
      </c>
      <c r="J50" s="208" t="str">
        <f t="shared" ca="1" si="1"/>
        <v/>
      </c>
      <c r="K50" s="209">
        <f t="shared" ca="1" si="1"/>
        <v>486000</v>
      </c>
      <c r="L50" s="193"/>
    </row>
    <row r="51" spans="1:12" s="8" customFormat="1" ht="14.1" customHeight="1">
      <c r="A51" s="202">
        <v>3</v>
      </c>
      <c r="B51" s="426">
        <f t="shared" ca="1" si="0"/>
        <v>12</v>
      </c>
      <c r="C51" s="203" t="str">
        <f t="shared" ca="1" si="0"/>
        <v>PCS</v>
      </c>
      <c r="D51" s="204" t="str">
        <f t="shared" ca="1" si="0"/>
        <v/>
      </c>
      <c r="E51" s="205" t="str">
        <f t="shared" ca="1" si="0"/>
        <v xml:space="preserve">PENSIL WARNA KENKO BI-COLOR CP-24FBC </v>
      </c>
      <c r="F51" s="182"/>
      <c r="G51" s="206"/>
      <c r="H51" s="207">
        <f t="shared" ca="1" si="1"/>
        <v>24500</v>
      </c>
      <c r="I51" s="208">
        <f t="shared" ca="1" si="1"/>
        <v>0.1</v>
      </c>
      <c r="J51" s="208" t="str">
        <f t="shared" ca="1" si="1"/>
        <v/>
      </c>
      <c r="K51" s="209">
        <f t="shared" ca="1" si="1"/>
        <v>264600</v>
      </c>
      <c r="L51" s="193"/>
    </row>
    <row r="52" spans="1:12" s="8" customFormat="1" ht="14.1" customHeight="1">
      <c r="A52" s="202">
        <v>4</v>
      </c>
      <c r="B52" s="426">
        <f t="shared" ca="1" si="0"/>
        <v>24</v>
      </c>
      <c r="C52" s="203" t="str">
        <f t="shared" ca="1" si="0"/>
        <v>PCS</v>
      </c>
      <c r="D52" s="204" t="str">
        <f t="shared" ca="1" si="0"/>
        <v/>
      </c>
      <c r="E52" s="205" t="str">
        <f t="shared" ca="1" si="0"/>
        <v>PENSIL WARNA KENKO NCP-12C</v>
      </c>
      <c r="F52" s="182"/>
      <c r="G52" s="206"/>
      <c r="H52" s="207">
        <f t="shared" ca="1" si="1"/>
        <v>13000</v>
      </c>
      <c r="I52" s="208">
        <f t="shared" ca="1" si="1"/>
        <v>0.1</v>
      </c>
      <c r="J52" s="208" t="str">
        <f t="shared" ca="1" si="1"/>
        <v/>
      </c>
      <c r="K52" s="209">
        <f t="shared" ca="1" si="1"/>
        <v>280800</v>
      </c>
      <c r="L52" s="193"/>
    </row>
    <row r="53" spans="1:12" s="8" customFormat="1" ht="14.1" customHeight="1">
      <c r="A53" s="202">
        <v>5</v>
      </c>
      <c r="B53" s="426">
        <f t="shared" ca="1" si="0"/>
        <v>10</v>
      </c>
      <c r="C53" s="203" t="str">
        <f t="shared" ca="1" si="0"/>
        <v>LSN</v>
      </c>
      <c r="D53" s="204" t="str">
        <f t="shared" ca="1" si="0"/>
        <v/>
      </c>
      <c r="E53" s="205" t="str">
        <f t="shared" ca="1" si="0"/>
        <v>LEM CAIR 35 ML KENKO LG-35</v>
      </c>
      <c r="F53" s="182"/>
      <c r="G53" s="206"/>
      <c r="H53" s="207">
        <f t="shared" ca="1" si="1"/>
        <v>19800</v>
      </c>
      <c r="I53" s="208">
        <f t="shared" ca="1" si="1"/>
        <v>0.1</v>
      </c>
      <c r="J53" s="208" t="str">
        <f t="shared" ca="1" si="1"/>
        <v/>
      </c>
      <c r="K53" s="209">
        <f t="shared" ca="1" si="1"/>
        <v>178200</v>
      </c>
      <c r="L53" s="193"/>
    </row>
    <row r="54" spans="1:12" s="8" customFormat="1" ht="14.1" customHeight="1">
      <c r="A54" s="202">
        <v>6</v>
      </c>
      <c r="B54" s="426" t="str">
        <f t="shared" ca="1" si="0"/>
        <v/>
      </c>
      <c r="C54" s="203" t="str">
        <f t="shared" ca="1" si="0"/>
        <v/>
      </c>
      <c r="D54" s="204" t="str">
        <f t="shared" ca="1" si="0"/>
        <v/>
      </c>
      <c r="E54" s="205" t="str">
        <f t="shared" ca="1" si="0"/>
        <v/>
      </c>
      <c r="F54" s="182"/>
      <c r="G54" s="206"/>
      <c r="H54" s="207" t="str">
        <f t="shared" ca="1" si="1"/>
        <v/>
      </c>
      <c r="I54" s="208" t="str">
        <f t="shared" ca="1" si="1"/>
        <v/>
      </c>
      <c r="J54" s="208" t="str">
        <f t="shared" ca="1" si="1"/>
        <v/>
      </c>
      <c r="K54" s="209" t="str">
        <f t="shared" ca="1" si="1"/>
        <v/>
      </c>
      <c r="L54" s="193"/>
    </row>
    <row r="55" spans="1:12" s="8" customFormat="1" ht="14.1" customHeight="1">
      <c r="A55" s="202">
        <v>7</v>
      </c>
      <c r="B55" s="426" t="str">
        <f t="shared" ca="1" si="0"/>
        <v/>
      </c>
      <c r="C55" s="203" t="str">
        <f t="shared" ca="1" si="0"/>
        <v/>
      </c>
      <c r="D55" s="204" t="str">
        <f t="shared" ca="1" si="0"/>
        <v/>
      </c>
      <c r="E55" s="205" t="str">
        <f t="shared" ca="1" si="0"/>
        <v/>
      </c>
      <c r="F55" s="182"/>
      <c r="G55" s="206"/>
      <c r="H55" s="207" t="str">
        <f t="shared" ca="1" si="1"/>
        <v/>
      </c>
      <c r="I55" s="208" t="str">
        <f t="shared" ca="1" si="1"/>
        <v/>
      </c>
      <c r="J55" s="208" t="str">
        <f t="shared" ca="1" si="1"/>
        <v/>
      </c>
      <c r="K55" s="209" t="str">
        <f t="shared" ca="1" si="1"/>
        <v/>
      </c>
      <c r="L55" s="193"/>
    </row>
    <row r="56" spans="1:12" s="8" customFormat="1" ht="14.1" customHeight="1">
      <c r="A56" s="202">
        <v>8</v>
      </c>
      <c r="B56" s="426" t="str">
        <f t="shared" ca="1" si="0"/>
        <v/>
      </c>
      <c r="C56" s="203" t="str">
        <f t="shared" ca="1" si="0"/>
        <v/>
      </c>
      <c r="D56" s="204" t="str">
        <f t="shared" ca="1" si="0"/>
        <v/>
      </c>
      <c r="E56" s="205" t="str">
        <f t="shared" ca="1" si="0"/>
        <v/>
      </c>
      <c r="F56" s="182"/>
      <c r="G56" s="206"/>
      <c r="H56" s="207" t="str">
        <f t="shared" ca="1" si="1"/>
        <v/>
      </c>
      <c r="I56" s="208" t="str">
        <f t="shared" ca="1" si="1"/>
        <v/>
      </c>
      <c r="J56" s="208" t="str">
        <f t="shared" ca="1" si="1"/>
        <v/>
      </c>
      <c r="K56" s="209" t="str">
        <f t="shared" ca="1" si="1"/>
        <v/>
      </c>
      <c r="L56" s="193"/>
    </row>
    <row r="57" spans="1:12" s="8" customFormat="1" ht="14.1" customHeight="1">
      <c r="A57" s="202">
        <v>9</v>
      </c>
      <c r="B57" s="426" t="str">
        <f t="shared" ca="1" si="0"/>
        <v/>
      </c>
      <c r="C57" s="203" t="str">
        <f t="shared" ca="1" si="0"/>
        <v/>
      </c>
      <c r="D57" s="204" t="str">
        <f t="shared" ca="1" si="0"/>
        <v/>
      </c>
      <c r="E57" s="205" t="str">
        <f t="shared" ca="1" si="0"/>
        <v/>
      </c>
      <c r="F57" s="182"/>
      <c r="G57" s="206"/>
      <c r="H57" s="207" t="str">
        <f t="shared" ca="1" si="1"/>
        <v/>
      </c>
      <c r="I57" s="208" t="str">
        <f t="shared" ca="1" si="1"/>
        <v/>
      </c>
      <c r="J57" s="208" t="str">
        <f t="shared" ca="1" si="1"/>
        <v/>
      </c>
      <c r="K57" s="209" t="str">
        <f t="shared" ca="1" si="1"/>
        <v/>
      </c>
      <c r="L57" s="193"/>
    </row>
    <row r="58" spans="1:12" s="8" customFormat="1" ht="14.1" customHeight="1">
      <c r="A58" s="202">
        <v>10</v>
      </c>
      <c r="B58" s="426" t="str">
        <f t="shared" ca="1" si="0"/>
        <v/>
      </c>
      <c r="C58" s="203" t="str">
        <f t="shared" ca="1" si="0"/>
        <v/>
      </c>
      <c r="D58" s="204" t="str">
        <f t="shared" ca="1" si="0"/>
        <v/>
      </c>
      <c r="E58" s="205" t="str">
        <f t="shared" ca="1" si="0"/>
        <v/>
      </c>
      <c r="F58" s="182"/>
      <c r="G58" s="206"/>
      <c r="H58" s="207" t="str">
        <f t="shared" ca="1" si="1"/>
        <v/>
      </c>
      <c r="I58" s="208" t="str">
        <f t="shared" ca="1" si="1"/>
        <v/>
      </c>
      <c r="J58" s="208" t="str">
        <f t="shared" ca="1" si="1"/>
        <v/>
      </c>
      <c r="K58" s="209" t="str">
        <f t="shared" ca="1" si="1"/>
        <v/>
      </c>
      <c r="L58" s="193"/>
    </row>
    <row r="59" spans="1:12" s="8" customFormat="1" ht="14.1" customHeight="1">
      <c r="A59" s="202">
        <v>11</v>
      </c>
      <c r="B59" s="426" t="str">
        <f t="shared" ca="1" si="0"/>
        <v/>
      </c>
      <c r="C59" s="203" t="str">
        <f t="shared" ca="1" si="0"/>
        <v/>
      </c>
      <c r="D59" s="204" t="str">
        <f t="shared" ca="1" si="0"/>
        <v/>
      </c>
      <c r="E59" s="205" t="str">
        <f t="shared" ca="1" si="0"/>
        <v/>
      </c>
      <c r="F59" s="182"/>
      <c r="G59" s="206"/>
      <c r="H59" s="207" t="str">
        <f t="shared" ca="1" si="1"/>
        <v/>
      </c>
      <c r="I59" s="208" t="str">
        <f t="shared" ca="1" si="1"/>
        <v/>
      </c>
      <c r="J59" s="208" t="str">
        <f t="shared" ca="1" si="1"/>
        <v/>
      </c>
      <c r="K59" s="209" t="str">
        <f t="shared" ca="1" si="1"/>
        <v/>
      </c>
      <c r="L59" s="193"/>
    </row>
    <row r="60" spans="1:12" s="8" customFormat="1" ht="14.1" customHeight="1">
      <c r="A60" s="202">
        <v>12</v>
      </c>
      <c r="B60" s="426" t="str">
        <f t="shared" ca="1" si="0"/>
        <v/>
      </c>
      <c r="C60" s="203" t="str">
        <f t="shared" ca="1" si="0"/>
        <v/>
      </c>
      <c r="D60" s="204" t="str">
        <f t="shared" ca="1" si="0"/>
        <v/>
      </c>
      <c r="E60" s="205" t="str">
        <f t="shared" ca="1" si="0"/>
        <v/>
      </c>
      <c r="F60" s="182"/>
      <c r="G60" s="206"/>
      <c r="H60" s="207" t="str">
        <f t="shared" ca="1" si="1"/>
        <v/>
      </c>
      <c r="I60" s="208" t="str">
        <f t="shared" ca="1" si="1"/>
        <v/>
      </c>
      <c r="J60" s="208" t="str">
        <f t="shared" ca="1" si="1"/>
        <v/>
      </c>
      <c r="K60" s="209" t="str">
        <f t="shared" ca="1" si="1"/>
        <v/>
      </c>
      <c r="L60" s="193"/>
    </row>
    <row r="61" spans="1:12" s="8" customFormat="1" ht="14.1" customHeight="1">
      <c r="A61" s="202">
        <v>13</v>
      </c>
      <c r="B61" s="426" t="str">
        <f t="shared" ca="1" si="0"/>
        <v/>
      </c>
      <c r="C61" s="203" t="str">
        <f t="shared" ca="1" si="0"/>
        <v/>
      </c>
      <c r="D61" s="204" t="str">
        <f t="shared" ca="1" si="0"/>
        <v/>
      </c>
      <c r="E61" s="205" t="str">
        <f t="shared" ca="1" si="0"/>
        <v/>
      </c>
      <c r="F61" s="182"/>
      <c r="G61" s="206"/>
      <c r="H61" s="207" t="str">
        <f t="shared" ca="1" si="1"/>
        <v/>
      </c>
      <c r="I61" s="208" t="str">
        <f t="shared" ca="1" si="1"/>
        <v/>
      </c>
      <c r="J61" s="208" t="str">
        <f t="shared" ca="1" si="1"/>
        <v/>
      </c>
      <c r="K61" s="209" t="str">
        <f t="shared" ca="1" si="1"/>
        <v/>
      </c>
      <c r="L61" s="193"/>
    </row>
    <row r="62" spans="1:12" s="8" customFormat="1" ht="14.1" customHeight="1">
      <c r="A62" s="202">
        <v>14</v>
      </c>
      <c r="B62" s="426" t="str">
        <f t="shared" ca="1" si="0"/>
        <v/>
      </c>
      <c r="C62" s="203" t="str">
        <f t="shared" ca="1" si="0"/>
        <v/>
      </c>
      <c r="D62" s="204" t="str">
        <f t="shared" ca="1" si="0"/>
        <v/>
      </c>
      <c r="E62" s="205" t="str">
        <f t="shared" ca="1" si="0"/>
        <v/>
      </c>
      <c r="F62" s="182"/>
      <c r="G62" s="206"/>
      <c r="H62" s="207" t="str">
        <f t="shared" ca="1" si="1"/>
        <v/>
      </c>
      <c r="I62" s="208" t="str">
        <f t="shared" ca="1" si="1"/>
        <v/>
      </c>
      <c r="J62" s="208" t="str">
        <f t="shared" ca="1" si="1"/>
        <v/>
      </c>
      <c r="K62" s="209" t="str">
        <f t="shared" ca="1" si="1"/>
        <v/>
      </c>
      <c r="L62" s="193"/>
    </row>
    <row r="63" spans="1:12" s="8" customFormat="1" ht="14.1" customHeight="1">
      <c r="A63" s="202">
        <v>15</v>
      </c>
      <c r="B63" s="426" t="str">
        <f t="shared" ca="1" si="0"/>
        <v/>
      </c>
      <c r="C63" s="203" t="str">
        <f t="shared" ca="1" si="0"/>
        <v/>
      </c>
      <c r="D63" s="204" t="str">
        <f t="shared" ca="1" si="0"/>
        <v/>
      </c>
      <c r="E63" s="205" t="str">
        <f t="shared" ca="1" si="0"/>
        <v/>
      </c>
      <c r="F63" s="182"/>
      <c r="G63" s="206"/>
      <c r="H63" s="207" t="str">
        <f t="shared" ca="1" si="1"/>
        <v/>
      </c>
      <c r="I63" s="208" t="str">
        <f t="shared" ca="1" si="1"/>
        <v/>
      </c>
      <c r="J63" s="208" t="str">
        <f t="shared" ca="1" si="1"/>
        <v/>
      </c>
      <c r="K63" s="209" t="str">
        <f t="shared" ca="1" si="1"/>
        <v/>
      </c>
      <c r="L63" s="193"/>
    </row>
    <row r="64" spans="1:12" s="8" customFormat="1" ht="14.1" customHeight="1">
      <c r="A64" s="202">
        <v>16</v>
      </c>
      <c r="B64" s="426" t="str">
        <f t="shared" ca="1" si="0"/>
        <v/>
      </c>
      <c r="C64" s="203" t="str">
        <f t="shared" ca="1" si="0"/>
        <v/>
      </c>
      <c r="D64" s="204" t="str">
        <f t="shared" ca="1" si="0"/>
        <v/>
      </c>
      <c r="E64" s="205" t="str">
        <f t="shared" ca="1" si="0"/>
        <v/>
      </c>
      <c r="F64" s="182"/>
      <c r="G64" s="206"/>
      <c r="H64" s="207" t="str">
        <f t="shared" ca="1" si="1"/>
        <v/>
      </c>
      <c r="I64" s="208" t="str">
        <f t="shared" ca="1" si="1"/>
        <v/>
      </c>
      <c r="J64" s="208" t="str">
        <f t="shared" ca="1" si="1"/>
        <v/>
      </c>
      <c r="K64" s="209" t="str">
        <f t="shared" ca="1" si="1"/>
        <v/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86"/>
      <c r="K66" s="486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87">
        <f ca="1">J29</f>
        <v>1514160</v>
      </c>
      <c r="K67" s="488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89"/>
      <c r="K68" s="489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>
        <f ca="1">K31</f>
        <v>0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86"/>
      <c r="K70" s="486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87">
        <f ca="1">J33</f>
        <v>150051.89189189186</v>
      </c>
      <c r="K71" s="488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86"/>
      <c r="K72" s="486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>
        <f ca="1">K35</f>
        <v>1514160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90" t="str">
        <f ca="1">J37</f>
        <v>NOVI / CONDRO</v>
      </c>
      <c r="K75" s="491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90" t="str">
        <f ca="1">J38</f>
        <v/>
      </c>
      <c r="K76" s="491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>
        <f ca="1">E41</f>
        <v>24050038</v>
      </c>
      <c r="F79" s="84"/>
      <c r="G79" s="85" t="s">
        <v>16</v>
      </c>
      <c r="H79" s="492" t="str">
        <f ca="1">H41</f>
        <v>CV GITA CAHYA</v>
      </c>
      <c r="I79" s="492"/>
      <c r="J79" s="492"/>
      <c r="K79" s="493"/>
      <c r="L79" s="86"/>
    </row>
    <row r="80" spans="1:12" s="8" customFormat="1" ht="7.5" customHeight="1">
      <c r="A80" s="79"/>
      <c r="B80" s="87"/>
      <c r="C80" s="88"/>
      <c r="D80" s="89"/>
      <c r="E80" s="90"/>
      <c r="F80" s="496" t="s">
        <v>18</v>
      </c>
      <c r="G80" s="91"/>
      <c r="H80" s="494"/>
      <c r="I80" s="494"/>
      <c r="J80" s="494"/>
      <c r="K80" s="495"/>
      <c r="L80" s="86"/>
    </row>
    <row r="81" spans="1:12" s="8" customFormat="1" ht="16.5" customHeight="1">
      <c r="A81" s="79"/>
      <c r="B81" s="80" t="s">
        <v>2</v>
      </c>
      <c r="C81" s="81"/>
      <c r="D81" s="497">
        <f ca="1">D43</f>
        <v>45441</v>
      </c>
      <c r="E81" s="498"/>
      <c r="F81" s="496"/>
      <c r="G81" s="92"/>
      <c r="H81" s="499" t="str">
        <f ca="1">H43</f>
        <v>( DHIAN )</v>
      </c>
      <c r="I81" s="499"/>
      <c r="J81" s="499"/>
      <c r="K81" s="500"/>
      <c r="L81" s="93"/>
    </row>
    <row r="82" spans="1:12" s="8" customFormat="1" ht="7.5" customHeight="1">
      <c r="A82" s="79"/>
      <c r="B82" s="87"/>
      <c r="C82" s="88"/>
      <c r="D82" s="89"/>
      <c r="E82" s="90"/>
      <c r="F82" s="496"/>
      <c r="G82" s="92"/>
      <c r="H82" s="501" t="str">
        <f ca="1">H44</f>
        <v>BANJARNEGARA</v>
      </c>
      <c r="I82" s="501"/>
      <c r="J82" s="501"/>
      <c r="K82" s="502"/>
      <c r="L82" s="94"/>
    </row>
    <row r="83" spans="1:12" s="8" customFormat="1" ht="16.5" customHeight="1">
      <c r="A83" s="79"/>
      <c r="B83" s="80" t="s">
        <v>3</v>
      </c>
      <c r="C83" s="81"/>
      <c r="D83" s="95" t="str">
        <f ca="1">D45</f>
        <v>A 4839</v>
      </c>
      <c r="E83" s="83"/>
      <c r="F83" s="96"/>
      <c r="G83" s="97"/>
      <c r="H83" s="503"/>
      <c r="I83" s="503"/>
      <c r="J83" s="503"/>
      <c r="K83" s="504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>
        <f t="shared" ref="B87:E102" ca="1" si="2">B49</f>
        <v>12</v>
      </c>
      <c r="C87" s="122" t="str">
        <f t="shared" ca="1" si="2"/>
        <v>LSN</v>
      </c>
      <c r="D87" s="123" t="str">
        <f t="shared" ca="1" si="2"/>
        <v/>
      </c>
      <c r="E87" s="124" t="str">
        <f t="shared" ca="1" si="2"/>
        <v>BALLPEN KENKO K-80</v>
      </c>
      <c r="F87" s="101"/>
      <c r="G87" s="125"/>
      <c r="H87" s="126">
        <f t="shared" ref="H87:K102" ca="1" si="3">H49</f>
        <v>28200</v>
      </c>
      <c r="I87" s="127">
        <f t="shared" ca="1" si="3"/>
        <v>0.1</v>
      </c>
      <c r="J87" s="127" t="str">
        <f t="shared" ca="1" si="3"/>
        <v/>
      </c>
      <c r="K87" s="128">
        <f t="shared" ca="1" si="3"/>
        <v>304560</v>
      </c>
      <c r="L87" s="112"/>
    </row>
    <row r="88" spans="1:12" s="8" customFormat="1" ht="14.1" customHeight="1">
      <c r="A88" s="121">
        <v>2</v>
      </c>
      <c r="B88" s="427">
        <f t="shared" ca="1" si="2"/>
        <v>36</v>
      </c>
      <c r="C88" s="122" t="str">
        <f t="shared" ca="1" si="2"/>
        <v>PCS</v>
      </c>
      <c r="D88" s="123" t="str">
        <f t="shared" ca="1" si="2"/>
        <v/>
      </c>
      <c r="E88" s="124" t="str">
        <f t="shared" ca="1" si="2"/>
        <v xml:space="preserve">PENSIL WARNA KENKO BI-COLOR NMCP-12FBC </v>
      </c>
      <c r="F88" s="101"/>
      <c r="G88" s="125"/>
      <c r="H88" s="126">
        <f t="shared" ca="1" si="3"/>
        <v>15000</v>
      </c>
      <c r="I88" s="127">
        <f t="shared" ca="1" si="3"/>
        <v>0.1</v>
      </c>
      <c r="J88" s="127" t="str">
        <f t="shared" ca="1" si="3"/>
        <v/>
      </c>
      <c r="K88" s="128">
        <f t="shared" ca="1" si="3"/>
        <v>486000</v>
      </c>
      <c r="L88" s="112"/>
    </row>
    <row r="89" spans="1:12" s="8" customFormat="1" ht="14.1" customHeight="1">
      <c r="A89" s="121">
        <v>3</v>
      </c>
      <c r="B89" s="427">
        <f t="shared" ca="1" si="2"/>
        <v>12</v>
      </c>
      <c r="C89" s="122" t="str">
        <f t="shared" ca="1" si="2"/>
        <v>PCS</v>
      </c>
      <c r="D89" s="123" t="str">
        <f t="shared" ca="1" si="2"/>
        <v/>
      </c>
      <c r="E89" s="124" t="str">
        <f t="shared" ca="1" si="2"/>
        <v xml:space="preserve">PENSIL WARNA KENKO BI-COLOR CP-24FBC </v>
      </c>
      <c r="F89" s="101"/>
      <c r="G89" s="125"/>
      <c r="H89" s="126">
        <f t="shared" ca="1" si="3"/>
        <v>24500</v>
      </c>
      <c r="I89" s="127">
        <f t="shared" ca="1" si="3"/>
        <v>0.1</v>
      </c>
      <c r="J89" s="127" t="str">
        <f t="shared" ca="1" si="3"/>
        <v/>
      </c>
      <c r="K89" s="128">
        <f t="shared" ca="1" si="3"/>
        <v>264600</v>
      </c>
      <c r="L89" s="112"/>
    </row>
    <row r="90" spans="1:12" s="8" customFormat="1" ht="14.1" customHeight="1">
      <c r="A90" s="121">
        <v>4</v>
      </c>
      <c r="B90" s="427">
        <f t="shared" ca="1" si="2"/>
        <v>24</v>
      </c>
      <c r="C90" s="122" t="str">
        <f t="shared" ca="1" si="2"/>
        <v>PCS</v>
      </c>
      <c r="D90" s="123" t="str">
        <f t="shared" ca="1" si="2"/>
        <v/>
      </c>
      <c r="E90" s="124" t="str">
        <f t="shared" ca="1" si="2"/>
        <v>PENSIL WARNA KENKO NCP-12C</v>
      </c>
      <c r="F90" s="101"/>
      <c r="G90" s="125"/>
      <c r="H90" s="126">
        <f t="shared" ca="1" si="3"/>
        <v>13000</v>
      </c>
      <c r="I90" s="127">
        <f t="shared" ca="1" si="3"/>
        <v>0.1</v>
      </c>
      <c r="J90" s="127" t="str">
        <f t="shared" ca="1" si="3"/>
        <v/>
      </c>
      <c r="K90" s="128">
        <f t="shared" ca="1" si="3"/>
        <v>280800</v>
      </c>
      <c r="L90" s="112"/>
    </row>
    <row r="91" spans="1:12" s="8" customFormat="1" ht="14.1" customHeight="1">
      <c r="A91" s="121">
        <v>5</v>
      </c>
      <c r="B91" s="427">
        <f t="shared" ca="1" si="2"/>
        <v>10</v>
      </c>
      <c r="C91" s="122" t="str">
        <f t="shared" ca="1" si="2"/>
        <v>LSN</v>
      </c>
      <c r="D91" s="123" t="str">
        <f t="shared" ca="1" si="2"/>
        <v/>
      </c>
      <c r="E91" s="124" t="str">
        <f t="shared" ca="1" si="2"/>
        <v>LEM CAIR 35 ML KENKO LG-35</v>
      </c>
      <c r="F91" s="101"/>
      <c r="G91" s="125"/>
      <c r="H91" s="126">
        <f t="shared" ca="1" si="3"/>
        <v>19800</v>
      </c>
      <c r="I91" s="127">
        <f t="shared" ca="1" si="3"/>
        <v>0.1</v>
      </c>
      <c r="J91" s="127" t="str">
        <f t="shared" ca="1" si="3"/>
        <v/>
      </c>
      <c r="K91" s="128">
        <f t="shared" ca="1" si="3"/>
        <v>178200</v>
      </c>
      <c r="L91" s="112"/>
    </row>
    <row r="92" spans="1:12" s="8" customFormat="1" ht="14.1" customHeight="1">
      <c r="A92" s="121">
        <v>6</v>
      </c>
      <c r="B92" s="427" t="str">
        <f t="shared" ca="1" si="2"/>
        <v/>
      </c>
      <c r="C92" s="122" t="str">
        <f t="shared" ca="1" si="2"/>
        <v/>
      </c>
      <c r="D92" s="123" t="str">
        <f t="shared" ca="1" si="2"/>
        <v/>
      </c>
      <c r="E92" s="124" t="str">
        <f t="shared" ca="1" si="2"/>
        <v/>
      </c>
      <c r="F92" s="101"/>
      <c r="G92" s="125"/>
      <c r="H92" s="126" t="str">
        <f t="shared" ca="1" si="3"/>
        <v/>
      </c>
      <c r="I92" s="127" t="str">
        <f t="shared" ca="1" si="3"/>
        <v/>
      </c>
      <c r="J92" s="127" t="str">
        <f t="shared" ca="1" si="3"/>
        <v/>
      </c>
      <c r="K92" s="128" t="str">
        <f t="shared" ca="1" si="3"/>
        <v/>
      </c>
      <c r="L92" s="112"/>
    </row>
    <row r="93" spans="1:12" s="8" customFormat="1" ht="14.1" customHeight="1">
      <c r="A93" s="121">
        <v>7</v>
      </c>
      <c r="B93" s="427" t="str">
        <f t="shared" ca="1" si="2"/>
        <v/>
      </c>
      <c r="C93" s="122" t="str">
        <f t="shared" ca="1" si="2"/>
        <v/>
      </c>
      <c r="D93" s="123" t="str">
        <f t="shared" ca="1" si="2"/>
        <v/>
      </c>
      <c r="E93" s="124" t="str">
        <f t="shared" ca="1" si="2"/>
        <v/>
      </c>
      <c r="F93" s="101"/>
      <c r="G93" s="125"/>
      <c r="H93" s="126" t="str">
        <f t="shared" ca="1" si="3"/>
        <v/>
      </c>
      <c r="I93" s="127" t="str">
        <f t="shared" ca="1" si="3"/>
        <v/>
      </c>
      <c r="J93" s="127" t="str">
        <f t="shared" ca="1" si="3"/>
        <v/>
      </c>
      <c r="K93" s="128" t="str">
        <f t="shared" ca="1" si="3"/>
        <v/>
      </c>
      <c r="L93" s="112"/>
    </row>
    <row r="94" spans="1:12" s="8" customFormat="1" ht="14.1" customHeight="1">
      <c r="A94" s="121">
        <v>8</v>
      </c>
      <c r="B94" s="427" t="str">
        <f t="shared" ca="1" si="2"/>
        <v/>
      </c>
      <c r="C94" s="122" t="str">
        <f t="shared" ca="1" si="2"/>
        <v/>
      </c>
      <c r="D94" s="123" t="str">
        <f t="shared" ca="1" si="2"/>
        <v/>
      </c>
      <c r="E94" s="124" t="str">
        <f t="shared" ca="1" si="2"/>
        <v/>
      </c>
      <c r="F94" s="101"/>
      <c r="G94" s="125"/>
      <c r="H94" s="126" t="str">
        <f t="shared" ca="1" si="3"/>
        <v/>
      </c>
      <c r="I94" s="127" t="str">
        <f t="shared" ca="1" si="3"/>
        <v/>
      </c>
      <c r="J94" s="127" t="str">
        <f t="shared" ca="1" si="3"/>
        <v/>
      </c>
      <c r="K94" s="128" t="str">
        <f t="shared" ca="1" si="3"/>
        <v/>
      </c>
      <c r="L94" s="112"/>
    </row>
    <row r="95" spans="1:12" s="8" customFormat="1" ht="14.1" customHeight="1">
      <c r="A95" s="121">
        <v>9</v>
      </c>
      <c r="B95" s="427" t="str">
        <f t="shared" ca="1" si="2"/>
        <v/>
      </c>
      <c r="C95" s="122" t="str">
        <f t="shared" ca="1" si="2"/>
        <v/>
      </c>
      <c r="D95" s="123" t="str">
        <f t="shared" ca="1" si="2"/>
        <v/>
      </c>
      <c r="E95" s="124" t="str">
        <f t="shared" ca="1" si="2"/>
        <v/>
      </c>
      <c r="F95" s="101"/>
      <c r="G95" s="125"/>
      <c r="H95" s="126" t="str">
        <f t="shared" ca="1" si="3"/>
        <v/>
      </c>
      <c r="I95" s="127" t="str">
        <f t="shared" ca="1" si="3"/>
        <v/>
      </c>
      <c r="J95" s="127" t="str">
        <f t="shared" ca="1" si="3"/>
        <v/>
      </c>
      <c r="K95" s="128" t="str">
        <f t="shared" ca="1" si="3"/>
        <v/>
      </c>
      <c r="L95" s="112"/>
    </row>
    <row r="96" spans="1:12" s="8" customFormat="1" ht="14.1" customHeight="1">
      <c r="A96" s="121">
        <v>10</v>
      </c>
      <c r="B96" s="427" t="str">
        <f t="shared" ca="1" si="2"/>
        <v/>
      </c>
      <c r="C96" s="122" t="str">
        <f t="shared" ca="1" si="2"/>
        <v/>
      </c>
      <c r="D96" s="123" t="str">
        <f t="shared" ca="1" si="2"/>
        <v/>
      </c>
      <c r="E96" s="124" t="str">
        <f t="shared" ca="1" si="2"/>
        <v/>
      </c>
      <c r="F96" s="101"/>
      <c r="G96" s="125"/>
      <c r="H96" s="126" t="str">
        <f t="shared" ca="1" si="3"/>
        <v/>
      </c>
      <c r="I96" s="127" t="str">
        <f t="shared" ca="1" si="3"/>
        <v/>
      </c>
      <c r="J96" s="127" t="str">
        <f t="shared" ca="1" si="3"/>
        <v/>
      </c>
      <c r="K96" s="128" t="str">
        <f t="shared" ca="1" si="3"/>
        <v/>
      </c>
      <c r="L96" s="112"/>
    </row>
    <row r="97" spans="1:12" s="8" customFormat="1" ht="14.1" customHeight="1">
      <c r="A97" s="121">
        <v>11</v>
      </c>
      <c r="B97" s="427" t="str">
        <f t="shared" ca="1" si="2"/>
        <v/>
      </c>
      <c r="C97" s="122" t="str">
        <f t="shared" ca="1" si="2"/>
        <v/>
      </c>
      <c r="D97" s="123" t="str">
        <f t="shared" ca="1" si="2"/>
        <v/>
      </c>
      <c r="E97" s="124" t="str">
        <f t="shared" ca="1" si="2"/>
        <v/>
      </c>
      <c r="F97" s="101"/>
      <c r="G97" s="125"/>
      <c r="H97" s="126" t="str">
        <f t="shared" ca="1" si="3"/>
        <v/>
      </c>
      <c r="I97" s="127" t="str">
        <f t="shared" ca="1" si="3"/>
        <v/>
      </c>
      <c r="J97" s="127" t="str">
        <f t="shared" ca="1" si="3"/>
        <v/>
      </c>
      <c r="K97" s="128" t="str">
        <f t="shared" ca="1" si="3"/>
        <v/>
      </c>
      <c r="L97" s="112"/>
    </row>
    <row r="98" spans="1:12" s="8" customFormat="1" ht="14.1" customHeight="1">
      <c r="A98" s="121">
        <v>12</v>
      </c>
      <c r="B98" s="427" t="str">
        <f t="shared" ca="1" si="2"/>
        <v/>
      </c>
      <c r="C98" s="122" t="str">
        <f t="shared" ca="1" si="2"/>
        <v/>
      </c>
      <c r="D98" s="123" t="str">
        <f t="shared" ca="1" si="2"/>
        <v/>
      </c>
      <c r="E98" s="124" t="str">
        <f t="shared" ca="1" si="2"/>
        <v/>
      </c>
      <c r="F98" s="101"/>
      <c r="G98" s="125"/>
      <c r="H98" s="126" t="str">
        <f t="shared" ca="1" si="3"/>
        <v/>
      </c>
      <c r="I98" s="127" t="str">
        <f t="shared" ca="1" si="3"/>
        <v/>
      </c>
      <c r="J98" s="127" t="str">
        <f t="shared" ca="1" si="3"/>
        <v/>
      </c>
      <c r="K98" s="128" t="str">
        <f t="shared" ca="1" si="3"/>
        <v/>
      </c>
      <c r="L98" s="112"/>
    </row>
    <row r="99" spans="1:12" s="8" customFormat="1" ht="14.1" customHeight="1">
      <c r="A99" s="121">
        <v>13</v>
      </c>
      <c r="B99" s="427" t="str">
        <f t="shared" ca="1" si="2"/>
        <v/>
      </c>
      <c r="C99" s="122" t="str">
        <f t="shared" ca="1" si="2"/>
        <v/>
      </c>
      <c r="D99" s="123" t="str">
        <f t="shared" ca="1" si="2"/>
        <v/>
      </c>
      <c r="E99" s="124" t="str">
        <f t="shared" ca="1" si="2"/>
        <v/>
      </c>
      <c r="F99" s="101"/>
      <c r="G99" s="125"/>
      <c r="H99" s="126" t="str">
        <f t="shared" ca="1" si="3"/>
        <v/>
      </c>
      <c r="I99" s="127" t="str">
        <f t="shared" ca="1" si="3"/>
        <v/>
      </c>
      <c r="J99" s="127" t="str">
        <f t="shared" ca="1" si="3"/>
        <v/>
      </c>
      <c r="K99" s="128" t="str">
        <f t="shared" ca="1" si="3"/>
        <v/>
      </c>
      <c r="L99" s="112"/>
    </row>
    <row r="100" spans="1:12" s="8" customFormat="1" ht="14.1" customHeight="1">
      <c r="A100" s="121">
        <v>14</v>
      </c>
      <c r="B100" s="427" t="str">
        <f t="shared" ca="1" si="2"/>
        <v/>
      </c>
      <c r="C100" s="122" t="str">
        <f t="shared" ca="1" si="2"/>
        <v/>
      </c>
      <c r="D100" s="123" t="str">
        <f t="shared" ca="1" si="2"/>
        <v/>
      </c>
      <c r="E100" s="124" t="str">
        <f t="shared" ca="1" si="2"/>
        <v/>
      </c>
      <c r="F100" s="101"/>
      <c r="G100" s="125"/>
      <c r="H100" s="126" t="str">
        <f t="shared" ca="1" si="3"/>
        <v/>
      </c>
      <c r="I100" s="127" t="str">
        <f t="shared" ca="1" si="3"/>
        <v/>
      </c>
      <c r="J100" s="127" t="str">
        <f t="shared" ca="1" si="3"/>
        <v/>
      </c>
      <c r="K100" s="128" t="str">
        <f t="shared" ca="1" si="3"/>
        <v/>
      </c>
      <c r="L100" s="112"/>
    </row>
    <row r="101" spans="1:12" s="8" customFormat="1" ht="14.1" customHeight="1">
      <c r="A101" s="121">
        <v>15</v>
      </c>
      <c r="B101" s="427" t="str">
        <f t="shared" ca="1" si="2"/>
        <v/>
      </c>
      <c r="C101" s="122" t="str">
        <f t="shared" ca="1" si="2"/>
        <v/>
      </c>
      <c r="D101" s="123" t="str">
        <f t="shared" ca="1" si="2"/>
        <v/>
      </c>
      <c r="E101" s="124" t="str">
        <f t="shared" ca="1" si="2"/>
        <v/>
      </c>
      <c r="F101" s="101"/>
      <c r="G101" s="125"/>
      <c r="H101" s="126" t="str">
        <f t="shared" ca="1" si="3"/>
        <v/>
      </c>
      <c r="I101" s="127" t="str">
        <f t="shared" ca="1" si="3"/>
        <v/>
      </c>
      <c r="J101" s="127" t="str">
        <f t="shared" ca="1" si="3"/>
        <v/>
      </c>
      <c r="K101" s="128" t="str">
        <f t="shared" ca="1" si="3"/>
        <v/>
      </c>
      <c r="L101" s="112"/>
    </row>
    <row r="102" spans="1:12" s="8" customFormat="1" ht="14.1" customHeight="1">
      <c r="A102" s="121">
        <v>16</v>
      </c>
      <c r="B102" s="427" t="str">
        <f t="shared" ca="1" si="2"/>
        <v/>
      </c>
      <c r="C102" s="122" t="str">
        <f t="shared" ca="1" si="2"/>
        <v/>
      </c>
      <c r="D102" s="123" t="str">
        <f t="shared" ca="1" si="2"/>
        <v/>
      </c>
      <c r="E102" s="124" t="str">
        <f t="shared" ca="1" si="2"/>
        <v/>
      </c>
      <c r="F102" s="101"/>
      <c r="G102" s="125"/>
      <c r="H102" s="126" t="str">
        <f t="shared" ca="1" si="3"/>
        <v/>
      </c>
      <c r="I102" s="127" t="str">
        <f t="shared" ca="1" si="3"/>
        <v/>
      </c>
      <c r="J102" s="127" t="str">
        <f t="shared" ca="1" si="3"/>
        <v/>
      </c>
      <c r="K102" s="128" t="str">
        <f t="shared" ca="1" si="3"/>
        <v/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505"/>
      <c r="K104" s="505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506">
        <f ca="1">J67</f>
        <v>1514160</v>
      </c>
      <c r="K105" s="507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510"/>
      <c r="K106" s="510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>
        <f ca="1">K69</f>
        <v>0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505"/>
      <c r="K108" s="505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506">
        <f ca="1">J71</f>
        <v>150051.89189189186</v>
      </c>
      <c r="K109" s="507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505"/>
      <c r="K110" s="505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>
        <f ca="1">K73</f>
        <v>1514160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508" t="str">
        <f ca="1">J75</f>
        <v>NOVI / CONDRO</v>
      </c>
      <c r="K113" s="509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508" t="str">
        <f ca="1">J76</f>
        <v/>
      </c>
      <c r="K114" s="509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15"/>
  <sheetViews>
    <sheetView view="pageLayout" topLeftCell="E14" zoomScale="85" zoomScaleNormal="85" zoomScalePageLayoutView="85" workbookViewId="0">
      <selection activeCell="J37" sqref="J37:K37"/>
    </sheetView>
  </sheetViews>
  <sheetFormatPr defaultColWidth="9.140625" defaultRowHeight="15" outlineLevelRow="1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>
      <c r="A1">
        <f ca="1">IF(K1="",MAX(Table1[//]),INDEX(Table1[//],MATCH(K1,Table1[//],0)))</f>
        <v>177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DHIAN</v>
      </c>
      <c r="F1" t="s">
        <v>43</v>
      </c>
      <c r="G1">
        <f ca="1">INDEX(Table1[h_jumlahbarang],newestIdRow-offset)</f>
        <v>5</v>
      </c>
      <c r="I1" s="453" t="s">
        <v>70</v>
      </c>
      <c r="J1" s="453"/>
    </row>
    <row r="2" spans="1:12" ht="7.5" customHeight="1" collapsed="1">
      <c r="A2" s="2"/>
      <c r="D2" s="3"/>
      <c r="I2" s="4"/>
      <c r="J2" s="4" t="s">
        <v>96</v>
      </c>
      <c r="K2" t="s">
        <v>177</v>
      </c>
    </row>
    <row r="3" spans="1:12" s="8" customFormat="1" ht="16.5" customHeight="1">
      <c r="A3" s="5"/>
      <c r="B3" s="1" t="s">
        <v>1</v>
      </c>
      <c r="C3" s="6"/>
      <c r="D3" s="258" t="s">
        <v>15</v>
      </c>
      <c r="E3" s="7">
        <f ca="1">INDEX(Table1[h_No. Invoice :],newestIdRow-offset)</f>
        <v>24050038</v>
      </c>
      <c r="G3" s="9" t="s">
        <v>16</v>
      </c>
      <c r="H3" s="511" t="str">
        <f ca="1">INDEX(Table2[b],MATCH(kToko,Table2[a],0))</f>
        <v>CV GITA CAHYA</v>
      </c>
      <c r="I3" s="511"/>
      <c r="J3" s="511"/>
      <c r="K3" s="512"/>
      <c r="L3" s="10"/>
    </row>
    <row r="4" spans="1:12" s="8" customFormat="1" ht="7.5" customHeight="1">
      <c r="A4" s="5"/>
      <c r="B4" s="11"/>
      <c r="C4" s="12"/>
      <c r="D4" s="13"/>
      <c r="E4" s="14"/>
      <c r="F4" s="464" t="s">
        <v>18</v>
      </c>
      <c r="G4" s="15"/>
      <c r="H4" s="513"/>
      <c r="I4" s="513"/>
      <c r="J4" s="513"/>
      <c r="K4" s="514"/>
      <c r="L4" s="10"/>
    </row>
    <row r="5" spans="1:12" s="8" customFormat="1" ht="16.5" customHeight="1">
      <c r="A5" s="5"/>
      <c r="B5" s="1" t="s">
        <v>2</v>
      </c>
      <c r="C5" s="6"/>
      <c r="D5" s="465">
        <f ca="1">INDEX(Table1[Tgl Invoice :],newestIdRow-offset)</f>
        <v>45441</v>
      </c>
      <c r="E5" s="466"/>
      <c r="F5" s="464"/>
      <c r="G5" s="16"/>
      <c r="H5" s="467" t="str">
        <f ca="1">IF(INDEX(Table2[c],MATCH(kToko,Table2[a],0))="","",INDEX(Table2[c],MATCH(kToko,Table2[a],0)))</f>
        <v>( DHIAN )</v>
      </c>
      <c r="I5" s="467"/>
      <c r="J5" s="467"/>
      <c r="K5" s="468"/>
      <c r="L5" s="16"/>
    </row>
    <row r="6" spans="1:12" s="8" customFormat="1" ht="7.5" customHeight="1">
      <c r="A6" s="5"/>
      <c r="B6" s="11"/>
      <c r="C6" s="12"/>
      <c r="D6" s="13"/>
      <c r="E6" s="14"/>
      <c r="F6" s="464"/>
      <c r="G6" s="16"/>
      <c r="H6" s="469" t="str">
        <f ca="1">INDEX(Table2[d],MATCH(kToko,Table2[a],0))</f>
        <v>BANJARNEGARA</v>
      </c>
      <c r="I6" s="469"/>
      <c r="J6" s="469"/>
      <c r="K6" s="470"/>
      <c r="L6" s="17"/>
    </row>
    <row r="7" spans="1:12" s="8" customFormat="1" ht="16.5" customHeight="1">
      <c r="A7" s="5"/>
      <c r="B7" s="1" t="s">
        <v>3</v>
      </c>
      <c r="C7" s="6"/>
      <c r="D7" s="18" t="str">
        <f ca="1">INDEX(Table1[Kode Sales :],newestIdRow-offset)</f>
        <v>A 4839</v>
      </c>
      <c r="E7" s="7"/>
      <c r="F7" s="19"/>
      <c r="G7" s="20"/>
      <c r="H7" s="471"/>
      <c r="I7" s="471"/>
      <c r="J7" s="471"/>
      <c r="K7" s="472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6.5" customHeight="1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>
        <f ca="1">IF(A11&gt;jumlahBarang,"",INDEX(Table1[Qty],newestIdRow-offset+A11-1))</f>
        <v>12</v>
      </c>
      <c r="C11" s="43" t="str">
        <f ca="1">IF(A11&gt;jumlahBarang,"",UPPER((INDEX(Table1[Unit],newestIdRow-offset+A11-1))))</f>
        <v>LSN</v>
      </c>
      <c r="D11" s="44" t="str">
        <f ca="1">IF(A11&gt;jumlahBarang,"",IF(INDEX(Table1[C],newestIdRow-offset+A11-1)="","",INDEX(Table1[C],newestIdRow-offset+A11-1)))</f>
        <v/>
      </c>
      <c r="E11" s="45" t="str">
        <f ca="1">IF(A11&gt;jumlahBarang,"",INDEX(Table1[Column12],newestIdRow-offset+A11-1))</f>
        <v>BALLPEN KENKO K-80</v>
      </c>
      <c r="G11" s="46"/>
      <c r="H11" s="47">
        <f ca="1">IF(A11&gt;jumlahBarang,"",INDEX(Table1[Column13],newestIdRow-offset+A11-1))</f>
        <v>28200</v>
      </c>
      <c r="I11" s="48">
        <f ca="1">IF(A11&gt;jumlahBarang,"",IF(INDEX(Table1[Column14],newestIdRow-offset+A11-1)="","",INDEX(Table1[Column14],newestIdRow-offset+A11-1)))</f>
        <v>0.1</v>
      </c>
      <c r="J11" s="48" t="str">
        <f ca="1">IF(A11&gt;jumlahBarang,"",IF(INDEX(Table1[Column15],newestIdRow-offset+A11-1)="","",INDEX(Table1[Column15],newestIdRow-offset+A11-1)))</f>
        <v/>
      </c>
      <c r="K11" s="49">
        <f ca="1">IF(A11&gt;jumlahBarang,"",INDEX(Table1[Amount],newestIdRow-offset+A11-1))</f>
        <v>304560</v>
      </c>
      <c r="L11" s="33"/>
    </row>
    <row r="12" spans="1:12" s="8" customFormat="1" ht="14.1" customHeight="1">
      <c r="A12" s="42">
        <v>2</v>
      </c>
      <c r="B12" s="43">
        <f ca="1">IF(A12&gt;jumlahBarang,"",INDEX(Table1[Qty],newestIdRow-offset+A12-1))</f>
        <v>36</v>
      </c>
      <c r="C12" s="43" t="str">
        <f ca="1">IF(A12&gt;jumlahBarang,"",UPPER((INDEX(Table1[Unit],newestIdRow-offset+A12-1))))</f>
        <v>PCS</v>
      </c>
      <c r="D12" s="44" t="str">
        <f ca="1">IF(A12&gt;jumlahBarang,"",IF(INDEX(Table1[C],newestIdRow-offset+A12-1)="","",INDEX(Table1[C],newestIdRow-offset+A12-1)))</f>
        <v/>
      </c>
      <c r="E12" s="45" t="str">
        <f ca="1">IF(A12&gt;jumlahBarang,"",INDEX(Table1[Column12],newestIdRow-offset+A12-1))</f>
        <v xml:space="preserve">PENSIL WARNA KENKO BI-COLOR NMCP-12FBC </v>
      </c>
      <c r="G12" s="46"/>
      <c r="H12" s="47">
        <f ca="1">IF(A12&gt;jumlahBarang,"",INDEX(Table1[Column13],newestIdRow-offset+A12-1))</f>
        <v>15000</v>
      </c>
      <c r="I12" s="48">
        <f ca="1">IF(A12&gt;jumlahBarang,"",IF(INDEX(Table1[Column14],newestIdRow-offset+A12-1)="","",INDEX(Table1[Column14],newestIdRow-offset+A12-1)))</f>
        <v>0.1</v>
      </c>
      <c r="J12" s="48" t="str">
        <f ca="1">IF(A12&gt;jumlahBarang,"",IF(INDEX(Table1[Column15],newestIdRow-offset+A12-1)="","",INDEX(Table1[Column15],newestIdRow-offset+A12-1)))</f>
        <v/>
      </c>
      <c r="K12" s="49">
        <f ca="1">IF(A12&gt;jumlahBarang,"",INDEX(Table1[Amount],newestIdRow-offset+A12-1))</f>
        <v>486000</v>
      </c>
      <c r="L12" s="33"/>
    </row>
    <row r="13" spans="1:12" s="8" customFormat="1" ht="14.1" customHeight="1">
      <c r="A13" s="42">
        <v>3</v>
      </c>
      <c r="B13" s="43">
        <f ca="1">IF(A13&gt;jumlahBarang,"",INDEX(Table1[Qty],newestIdRow-offset+A13-1))</f>
        <v>12</v>
      </c>
      <c r="C13" s="43" t="str">
        <f ca="1">IF(A13&gt;jumlahBarang,"",UPPER((INDEX(Table1[Unit],newestIdRow-offset+A13-1))))</f>
        <v>PCS</v>
      </c>
      <c r="D13" s="44" t="str">
        <f ca="1">IF(A13&gt;jumlahBarang,"",IF(INDEX(Table1[C],newestIdRow-offset+A13-1)="","",INDEX(Table1[C],newestIdRow-offset+A13-1)))</f>
        <v/>
      </c>
      <c r="E13" s="45" t="str">
        <f ca="1">IF(A13&gt;jumlahBarang,"",INDEX(Table1[Column12],newestIdRow-offset+A13-1))</f>
        <v xml:space="preserve">PENSIL WARNA KENKO BI-COLOR CP-24FBC </v>
      </c>
      <c r="G13" s="46"/>
      <c r="H13" s="47">
        <f ca="1">IF(A13&gt;jumlahBarang,"",INDEX(Table1[Column13],newestIdRow-offset+A13-1))</f>
        <v>24500</v>
      </c>
      <c r="I13" s="48">
        <f ca="1">IF(A13&gt;jumlahBarang,"",IF(INDEX(Table1[Column14],newestIdRow-offset+A13-1)="","",INDEX(Table1[Column14],newestIdRow-offset+A13-1)))</f>
        <v>0.1</v>
      </c>
      <c r="J13" s="48" t="str">
        <f ca="1">IF(A13&gt;jumlahBarang,"",IF(INDEX(Table1[Column15],newestIdRow-offset+A13-1)="","",INDEX(Table1[Column15],newestIdRow-offset+A13-1)))</f>
        <v/>
      </c>
      <c r="K13" s="49">
        <f ca="1">IF(A13&gt;jumlahBarang,"",INDEX(Table1[Amount],newestIdRow-offset+A13-1))</f>
        <v>264600</v>
      </c>
      <c r="L13" s="33"/>
    </row>
    <row r="14" spans="1:12" s="8" customFormat="1" ht="14.1" customHeight="1">
      <c r="A14" s="42">
        <v>4</v>
      </c>
      <c r="B14" s="43">
        <f ca="1">IF(A14&gt;jumlahBarang,"",INDEX(Table1[Qty],newestIdRow-offset+A14-1))</f>
        <v>24</v>
      </c>
      <c r="C14" s="43" t="str">
        <f ca="1">IF(A14&gt;jumlahBarang,"",UPPER((INDEX(Table1[Unit],newestIdRow-offset+A14-1))))</f>
        <v>PCS</v>
      </c>
      <c r="D14" s="44" t="str">
        <f ca="1">IF(A14&gt;jumlahBarang,"",IF(INDEX(Table1[C],newestIdRow-offset+A14-1)="","",INDEX(Table1[C],newestIdRow-offset+A14-1)))</f>
        <v/>
      </c>
      <c r="E14" s="45" t="str">
        <f ca="1">IF(A14&gt;jumlahBarang,"",INDEX(Table1[Column12],newestIdRow-offset+A14-1))</f>
        <v>PENSIL WARNA KENKO NCP-12C</v>
      </c>
      <c r="G14" s="46"/>
      <c r="H14" s="47">
        <f ca="1">IF(A14&gt;jumlahBarang,"",INDEX(Table1[Column13],newestIdRow-offset+A14-1))</f>
        <v>13000</v>
      </c>
      <c r="I14" s="48">
        <f ca="1">IF(A14&gt;jumlahBarang,"",IF(INDEX(Table1[Column14],newestIdRow-offset+A14-1)="","",INDEX(Table1[Column14],newestIdRow-offset+A14-1)))</f>
        <v>0.1</v>
      </c>
      <c r="J14" s="48" t="str">
        <f ca="1">IF(A14&gt;jumlahBarang,"",IF(INDEX(Table1[Column15],newestIdRow-offset+A14-1)="","",INDEX(Table1[Column15],newestIdRow-offset+A14-1)))</f>
        <v/>
      </c>
      <c r="K14" s="49">
        <f ca="1">IF(A14&gt;jumlahBarang,"",INDEX(Table1[Amount],newestIdRow-offset+A14-1))</f>
        <v>280800</v>
      </c>
      <c r="L14" s="33"/>
    </row>
    <row r="15" spans="1:12" s="8" customFormat="1" ht="14.1" customHeight="1">
      <c r="A15" s="42">
        <v>5</v>
      </c>
      <c r="B15" s="43">
        <f ca="1">IF(A15&gt;jumlahBarang,"",INDEX(Table1[Qty],newestIdRow-offset+A15-1))</f>
        <v>10</v>
      </c>
      <c r="C15" s="43" t="str">
        <f ca="1">IF(A15&gt;jumlahBarang,"",UPPER((INDEX(Table1[Unit],newestIdRow-offset+A15-1))))</f>
        <v>LSN</v>
      </c>
      <c r="D15" s="44" t="str">
        <f ca="1">IF(A15&gt;jumlahBarang,"",IF(INDEX(Table1[C],newestIdRow-offset+A15-1)="","",INDEX(Table1[C],newestIdRow-offset+A15-1)))</f>
        <v/>
      </c>
      <c r="E15" s="45" t="str">
        <f ca="1">IF(A15&gt;jumlahBarang,"",INDEX(Table1[Column12],newestIdRow-offset+A15-1))</f>
        <v>LEM CAIR 35 ML KENKO LG-35</v>
      </c>
      <c r="G15" s="46"/>
      <c r="H15" s="47">
        <f ca="1">IF(A15&gt;jumlahBarang,"",INDEX(Table1[Column13],newestIdRow-offset+A15-1))</f>
        <v>19800</v>
      </c>
      <c r="I15" s="48">
        <f ca="1">IF(A15&gt;jumlahBarang,"",IF(INDEX(Table1[Column14],newestIdRow-offset+A15-1)="","",INDEX(Table1[Column14],newestIdRow-offset+A15-1)))</f>
        <v>0.1</v>
      </c>
      <c r="J15" s="48" t="str">
        <f ca="1">IF(A15&gt;jumlahBarang,"",IF(INDEX(Table1[Column15],newestIdRow-offset+A15-1)="","",INDEX(Table1[Column15],newestIdRow-offset+A15-1)))</f>
        <v/>
      </c>
      <c r="K15" s="49">
        <f ca="1">IF(A15&gt;jumlahBarang,"",INDEX(Table1[Amount],newestIdRow-offset+A15-1))</f>
        <v>178200</v>
      </c>
      <c r="L15" s="33"/>
    </row>
    <row r="16" spans="1:12" s="8" customFormat="1" ht="14.1" customHeight="1">
      <c r="A16" s="42">
        <v>6</v>
      </c>
      <c r="B16" s="43" t="str">
        <f ca="1">IF(A16&gt;jumlahBarang,"",INDEX(Table1[Qty],newestIdRow-offset+A16-1))</f>
        <v/>
      </c>
      <c r="C16" s="43" t="str">
        <f ca="1">IF(A16&gt;jumlahBarang,"",UPPER((INDEX(Table1[Unit],newestIdRow-offset+A16-1))))</f>
        <v/>
      </c>
      <c r="D16" s="44" t="str">
        <f ca="1">IF(A16&gt;jumlahBarang,"",IF(INDEX(Table1[C],newestIdRow-offset+A16-1)="","",INDEX(Table1[C],newestIdRow-offset+A16-1)))</f>
        <v/>
      </c>
      <c r="E16" s="45" t="str">
        <f ca="1">IF(A16&gt;jumlahBarang,"",INDEX(Table1[Column12],newestIdRow-offset+A16-1))</f>
        <v/>
      </c>
      <c r="G16" s="46"/>
      <c r="H16" s="47" t="str">
        <f ca="1">IF(A16&gt;jumlahBarang,"",INDEX(Table1[Column13],newestIdRow-offset+A16-1))</f>
        <v/>
      </c>
      <c r="I16" s="48" t="str">
        <f ca="1">IF(A16&gt;jumlahBarang,"",IF(INDEX(Table1[Column14],newestIdRow-offset+A16-1)="","",INDEX(Table1[Column14],newestIdRow-offset+A16-1)))</f>
        <v/>
      </c>
      <c r="J16" s="48" t="str">
        <f ca="1">IF(A16&gt;jumlahBarang,"",IF(INDEX(Table1[Column15],newestIdRow-offset+A16-1)="","",INDEX(Table1[Column15],newestIdRow-offset+A16-1)))</f>
        <v/>
      </c>
      <c r="K16" s="49" t="str">
        <f ca="1">IF(A16&gt;jumlahBarang,"",INDEX(Table1[Amount],newestIdRow-offset+A16-1))</f>
        <v/>
      </c>
      <c r="L16" s="33"/>
    </row>
    <row r="17" spans="1:12" s="8" customFormat="1" ht="14.1" customHeight="1">
      <c r="A17" s="42">
        <v>7</v>
      </c>
      <c r="B17" s="43" t="str">
        <f ca="1">IF(A17&gt;jumlahBarang,"",INDEX(Table1[Qty],newestIdRow-offset+A17-1))</f>
        <v/>
      </c>
      <c r="C17" s="43" t="str">
        <f ca="1">IF(A17&gt;jumlahBarang,"",UPPER((INDEX(Table1[Unit],newestIdRow-offset+A17-1))))</f>
        <v/>
      </c>
      <c r="D17" s="44" t="str">
        <f ca="1">IF(A17&gt;jumlahBarang,"",IF(INDEX(Table1[C],newestIdRow-offset+A17-1)="","",INDEX(Table1[C],newestIdRow-offset+A17-1)))</f>
        <v/>
      </c>
      <c r="E17" s="45" t="str">
        <f ca="1">IF(A17&gt;jumlahBarang,"",INDEX(Table1[Column12],newestIdRow-offset+A17-1))</f>
        <v/>
      </c>
      <c r="G17" s="46"/>
      <c r="H17" s="47" t="str">
        <f ca="1">IF(A17&gt;jumlahBarang,"",INDEX(Table1[Column13],newestIdRow-offset+A17-1))</f>
        <v/>
      </c>
      <c r="I17" s="48" t="str">
        <f ca="1">IF(A17&gt;jumlahBarang,"",IF(INDEX(Table1[Column14],newestIdRow-offset+A17-1)="","",INDEX(Table1[Column14],newestIdRow-offset+A17-1)))</f>
        <v/>
      </c>
      <c r="J17" s="48" t="str">
        <f ca="1">IF(A17&gt;jumlahBarang,"",IF(INDEX(Table1[Column15],newestIdRow-offset+A17-1)="","",INDEX(Table1[Column15],newestIdRow-offset+A17-1)))</f>
        <v/>
      </c>
      <c r="K17" s="49" t="str">
        <f ca="1">IF(A17&gt;jumlahBarang,"",INDEX(Table1[Amount],newestIdRow-offset+A17-1))</f>
        <v/>
      </c>
      <c r="L17" s="33"/>
    </row>
    <row r="18" spans="1:12" s="8" customFormat="1" ht="14.1" customHeight="1">
      <c r="A18" s="42">
        <v>8</v>
      </c>
      <c r="B18" s="43" t="str">
        <f ca="1">IF(A18&gt;jumlahBarang,"",INDEX(Table1[Qty],newestIdRow-offset+A18-1))</f>
        <v/>
      </c>
      <c r="C18" s="43" t="str">
        <f ca="1">IF(A18&gt;jumlahBarang,"",UPPER((INDEX(Table1[Unit],newestIdRow-offset+A18-1))))</f>
        <v/>
      </c>
      <c r="D18" s="44" t="str">
        <f ca="1">IF(A18&gt;jumlahBarang,"",IF(INDEX(Table1[C],newestIdRow-offset+A18-1)="","",INDEX(Table1[C],newestIdRow-offset+A18-1)))</f>
        <v/>
      </c>
      <c r="E18" s="259" t="str">
        <f ca="1">IF(A18&gt;jumlahBarang,"",INDEX(Table1[Column12],newestIdRow-offset+A18-1))</f>
        <v/>
      </c>
      <c r="G18" s="46"/>
      <c r="H18" s="47" t="str">
        <f ca="1">IF(A18&gt;jumlahBarang,"",INDEX(Table1[Column13],newestIdRow-offset+A18-1))</f>
        <v/>
      </c>
      <c r="I18" s="48" t="str">
        <f ca="1">IF(A18&gt;jumlahBarang,"",IF(INDEX(Table1[Column14],newestIdRow-offset+A18-1)="","",INDEX(Table1[Column14],newestIdRow-offset+A18-1)))</f>
        <v/>
      </c>
      <c r="J18" s="48" t="str">
        <f ca="1">IF(A18&gt;jumlahBarang,"",IF(INDEX(Table1[Column15],newestIdRow-offset+A18-1)="","",INDEX(Table1[Column15],newestIdRow-offset+A18-1)))</f>
        <v/>
      </c>
      <c r="K18" s="49" t="str">
        <f ca="1">IF(A18&gt;jumlahBarang,"",INDEX(Table1[Amount],newestIdRow-offset+A18-1))</f>
        <v/>
      </c>
      <c r="L18" s="33"/>
    </row>
    <row r="19" spans="1:12" s="8" customFormat="1" ht="14.1" customHeight="1">
      <c r="A19" s="42">
        <v>9</v>
      </c>
      <c r="B19" s="43" t="str">
        <f ca="1">IF(A19&gt;jumlahBarang,"",INDEX(Table1[Qty],newestIdRow-offset+A19-1))</f>
        <v/>
      </c>
      <c r="C19" s="43" t="str">
        <f ca="1">IF(A19&gt;jumlahBarang,"",UPPER((INDEX(Table1[Unit],newestIdRow-offset+A19-1))))</f>
        <v/>
      </c>
      <c r="D19" s="44" t="str">
        <f ca="1">IF(A19&gt;jumlahBarang,"",IF(INDEX(Table1[C],newestIdRow-offset+A19-1)="","",INDEX(Table1[C],newestIdRow-offset+A19-1)))</f>
        <v/>
      </c>
      <c r="E19" s="45" t="str">
        <f ca="1">IF(A19&gt;jumlahBarang,"",INDEX(Table1[Column12],newestIdRow-offset+A19-1))</f>
        <v/>
      </c>
      <c r="G19" s="46"/>
      <c r="H19" s="47" t="str">
        <f ca="1">IF(A19&gt;jumlahBarang,"",INDEX(Table1[Column13],newestIdRow-offset+A19-1))</f>
        <v/>
      </c>
      <c r="I19" s="48" t="str">
        <f ca="1">IF(A19&gt;jumlahBarang,"",IF(INDEX(Table1[Column14],newestIdRow-offset+A19-1)="","",INDEX(Table1[Column14],newestIdRow-offset+A19-1)))</f>
        <v/>
      </c>
      <c r="J19" s="48" t="str">
        <f ca="1">IF(A19&gt;jumlahBarang,"",IF(INDEX(Table1[Column15],newestIdRow-offset+A19-1)="","",INDEX(Table1[Column15],newestIdRow-offset+A19-1)))</f>
        <v/>
      </c>
      <c r="K19" s="49" t="str">
        <f ca="1">IF(A19&gt;jumlahBarang,"",INDEX(Table1[Amount],newestIdRow-offset+A19-1))</f>
        <v/>
      </c>
      <c r="L19" s="33"/>
    </row>
    <row r="20" spans="1:12" s="8" customFormat="1" ht="14.1" customHeight="1">
      <c r="A20" s="42">
        <v>10</v>
      </c>
      <c r="B20" s="43" t="str">
        <f ca="1">IF(A20&gt;jumlahBarang,"",INDEX(Table1[Qty],newestIdRow-offset+A20-1))</f>
        <v/>
      </c>
      <c r="C20" s="43" t="str">
        <f ca="1">IF(A20&gt;jumlahBarang,"",UPPER((INDEX(Table1[Unit],newestIdRow-offset+A20-1))))</f>
        <v/>
      </c>
      <c r="D20" s="44" t="str">
        <f ca="1">IF(A20&gt;jumlahBarang,"",IF(INDEX(Table1[C],newestIdRow-offset+A20-1)="","",INDEX(Table1[C],newestIdRow-offset+A20-1)))</f>
        <v/>
      </c>
      <c r="E20" s="45" t="str">
        <f ca="1">IF(A20&gt;jumlahBarang,"",INDEX(Table1[Column12],newestIdRow-offset+A20-1))</f>
        <v/>
      </c>
      <c r="G20" s="46"/>
      <c r="H20" s="47" t="str">
        <f ca="1">IF(A20&gt;jumlahBarang,"",INDEX(Table1[Column13],newestIdRow-offset+A20-1))</f>
        <v/>
      </c>
      <c r="I20" s="48" t="str">
        <f ca="1">IF(A20&gt;jumlahBarang,"",IF(INDEX(Table1[Column14],newestIdRow-offset+A20-1)="","",INDEX(Table1[Column14],newestIdRow-offset+A20-1)))</f>
        <v/>
      </c>
      <c r="J20" s="48" t="str">
        <f ca="1">IF(A20&gt;jumlahBarang,"",IF(INDEX(Table1[Column15],newestIdRow-offset+A20-1)="","",INDEX(Table1[Column15],newestIdRow-offset+A20-1)))</f>
        <v/>
      </c>
      <c r="K20" s="49" t="str">
        <f ca="1">IF(A20&gt;jumlahBarang,"",INDEX(Table1[Amount],newestIdRow-offset+A20-1))</f>
        <v/>
      </c>
      <c r="L20" s="33"/>
    </row>
    <row r="21" spans="1:12" s="8" customFormat="1" ht="14.1" customHeight="1">
      <c r="A21" s="42">
        <v>11</v>
      </c>
      <c r="B21" s="43" t="str">
        <f ca="1">IF(A21&gt;jumlahBarang,"",INDEX(Table1[Qty],newestIdRow-offset+A21-1))</f>
        <v/>
      </c>
      <c r="C21" s="43" t="str">
        <f ca="1">IF(A21&gt;jumlahBarang,"",UPPER((INDEX(Table1[Unit],newestIdRow-offset+A21-1))))</f>
        <v/>
      </c>
      <c r="D21" s="44" t="str">
        <f ca="1">IF(A21&gt;jumlahBarang,"",IF(INDEX(Table1[C],newestIdRow-offset+A21-1)="","",INDEX(Table1[C],newestIdRow-offset+A21-1)))</f>
        <v/>
      </c>
      <c r="E21" s="45" t="str">
        <f ca="1">IF(A21&gt;jumlahBarang,"",INDEX(Table1[Column12],newestIdRow-offset+A21-1))</f>
        <v/>
      </c>
      <c r="G21" s="46"/>
      <c r="H21" s="47" t="str">
        <f ca="1">IF(A21&gt;jumlahBarang,"",INDEX(Table1[Column13],newestIdRow-offset+A21-1))</f>
        <v/>
      </c>
      <c r="I21" s="48" t="str">
        <f ca="1">IF(A21&gt;jumlahBarang,"",IF(INDEX(Table1[Column14],newestIdRow-offset+A21-1)="","",INDEX(Table1[Column14],newestIdRow-offset+A21-1)))</f>
        <v/>
      </c>
      <c r="J21" s="48" t="str">
        <f ca="1">IF(A21&gt;jumlahBarang,"",IF(INDEX(Table1[Column15],newestIdRow-offset+A21-1)="","",INDEX(Table1[Column15],newestIdRow-offset+A21-1)))</f>
        <v/>
      </c>
      <c r="K21" s="49" t="str">
        <f ca="1">IF(A21&gt;jumlahBarang,"",INDEX(Table1[Amount],newestIdRow-offset+A21-1))</f>
        <v/>
      </c>
      <c r="L21" s="33"/>
    </row>
    <row r="22" spans="1:12" s="8" customFormat="1" ht="14.1" customHeight="1">
      <c r="A22" s="42">
        <v>12</v>
      </c>
      <c r="B22" s="43" t="str">
        <f ca="1">IF(A22&gt;jumlahBarang,"",INDEX(Table1[Qty],newestIdRow-offset+A22-1))</f>
        <v/>
      </c>
      <c r="C22" s="43" t="str">
        <f ca="1">IF(A22&gt;jumlahBarang,"",UPPER((INDEX(Table1[Unit],newestIdRow-offset+A22-1))))</f>
        <v/>
      </c>
      <c r="D22" s="44" t="str">
        <f ca="1">IF(A22&gt;jumlahBarang,"",IF(INDEX(Table1[C],newestIdRow-offset+A22-1)="","",INDEX(Table1[C],newestIdRow-offset+A22-1)))</f>
        <v/>
      </c>
      <c r="E22" s="45" t="str">
        <f ca="1">IF(A22&gt;jumlahBarang,"",INDEX(Table1[Column12],newestIdRow-offset+A22-1))</f>
        <v/>
      </c>
      <c r="G22" s="46"/>
      <c r="H22" s="47" t="str">
        <f ca="1">IF(A22&gt;jumlahBarang,"",INDEX(Table1[Column13],newestIdRow-offset+A22-1))</f>
        <v/>
      </c>
      <c r="I22" s="48" t="str">
        <f ca="1">IF(A22&gt;jumlahBarang,"",IF(INDEX(Table1[Column14],newestIdRow-offset+A22-1)="","",INDEX(Table1[Column14],newestIdRow-offset+A22-1)))</f>
        <v/>
      </c>
      <c r="J22" s="48" t="str">
        <f ca="1">IF(A22&gt;jumlahBarang,"",IF(INDEX(Table1[Column15],newestIdRow-offset+A22-1)="","",INDEX(Table1[Column15],newestIdRow-offset+A22-1)))</f>
        <v/>
      </c>
      <c r="K22" s="49" t="str">
        <f ca="1">IF(A22&gt;jumlahBarang,"",INDEX(Table1[Amount],newestIdRow-offset+A22-1))</f>
        <v/>
      </c>
      <c r="L22" s="33"/>
    </row>
    <row r="23" spans="1:12" s="8" customFormat="1" ht="14.1" customHeight="1">
      <c r="A23" s="42">
        <v>13</v>
      </c>
      <c r="B23" s="43" t="str">
        <f ca="1">IF(A23&gt;jumlahBarang,"",INDEX(Table1[Qty],newestIdRow-offset+A23-1))</f>
        <v/>
      </c>
      <c r="C23" s="43" t="str">
        <f ca="1">IF(A23&gt;jumlahBarang,"",UPPER((INDEX(Table1[Unit],newestIdRow-offset+A23-1))))</f>
        <v/>
      </c>
      <c r="D23" s="44" t="str">
        <f ca="1">IF(A23&gt;jumlahBarang,"",IF(INDEX(Table1[C],newestIdRow-offset+A23-1)="","",INDEX(Table1[C],newestIdRow-offset+A23-1)))</f>
        <v/>
      </c>
      <c r="E23" s="45" t="str">
        <f ca="1">IF(A23&gt;jumlahBarang,"",INDEX(Table1[Column12],newestIdRow-offset+A23-1))</f>
        <v/>
      </c>
      <c r="G23" s="46"/>
      <c r="H23" s="47" t="str">
        <f ca="1">IF(A23&gt;jumlahBarang,"",INDEX(Table1[Column13],newestIdRow-offset+A23-1))</f>
        <v/>
      </c>
      <c r="I23" s="48" t="str">
        <f ca="1">IF(A23&gt;jumlahBarang,"",IF(INDEX(Table1[Column14],newestIdRow-offset+A23-1)="","",INDEX(Table1[Column14],newestIdRow-offset+A23-1)))</f>
        <v/>
      </c>
      <c r="J23" s="48" t="str">
        <f ca="1">IF(A23&gt;jumlahBarang,"",IF(INDEX(Table1[Column15],newestIdRow-offset+A23-1)="","",INDEX(Table1[Column15],newestIdRow-offset+A23-1)))</f>
        <v/>
      </c>
      <c r="K23" s="49" t="str">
        <f ca="1">IF(A23&gt;jumlahBarang,"",INDEX(Table1[Amount],newestIdRow-offset+A23-1))</f>
        <v/>
      </c>
      <c r="L23" s="33"/>
    </row>
    <row r="24" spans="1:12" s="8" customFormat="1" ht="14.1" customHeight="1">
      <c r="A24" s="42">
        <v>14</v>
      </c>
      <c r="B24" s="43" t="str">
        <f ca="1">IF(A24&gt;jumlahBarang,"",INDEX(Table1[Qty],newestIdRow-offset+A24-1))</f>
        <v/>
      </c>
      <c r="C24" s="43" t="str">
        <f ca="1">IF(A24&gt;jumlahBarang,"",UPPER((INDEX(Table1[Unit],newestIdRow-offset+A24-1))))</f>
        <v/>
      </c>
      <c r="D24" s="44" t="str">
        <f ca="1">IF(A24&gt;jumlahBarang,"",IF(INDEX(Table1[C],newestIdRow-offset+A24-1)="","",INDEX(Table1[C],newestIdRow-offset+A24-1)))</f>
        <v/>
      </c>
      <c r="E24" s="45" t="str">
        <f ca="1">IF(A24&gt;jumlahBarang,"",INDEX(Table1[Column12],newestIdRow-offset+A24-1))</f>
        <v/>
      </c>
      <c r="G24" s="46"/>
      <c r="H24" s="47" t="str">
        <f ca="1">IF(A24&gt;jumlahBarang,"",INDEX(Table1[Column13],newestIdRow-offset+A24-1))</f>
        <v/>
      </c>
      <c r="I24" s="48" t="str">
        <f ca="1">IF(A24&gt;jumlahBarang,"",IF(INDEX(Table1[Column14],newestIdRow-offset+A24-1)="","",INDEX(Table1[Column14],newestIdRow-offset+A24-1)))</f>
        <v/>
      </c>
      <c r="J24" s="48" t="str">
        <f ca="1">IF(A24&gt;jumlahBarang,"",IF(INDEX(Table1[Column15],newestIdRow-offset+A24-1)="","",INDEX(Table1[Column15],newestIdRow-offset+A24-1)))</f>
        <v/>
      </c>
      <c r="K24" s="49" t="str">
        <f ca="1">IF(A24&gt;jumlahBarang,"",INDEX(Table1[Amount],newestIdRow-offset+A24-1))</f>
        <v/>
      </c>
      <c r="L24" s="33"/>
    </row>
    <row r="25" spans="1:12" s="8" customFormat="1" ht="14.1" customHeight="1">
      <c r="A25" s="42">
        <v>15</v>
      </c>
      <c r="B25" s="43" t="str">
        <f ca="1">IF(A25&gt;jumlahBarang,"",INDEX(Table1[Qty],newestIdRow-offset+A25-1))</f>
        <v/>
      </c>
      <c r="C25" s="43" t="str">
        <f ca="1">IF(A25&gt;jumlahBarang,"",UPPER((INDEX(Table1[Unit],newestIdRow-offset+A25-1))))</f>
        <v/>
      </c>
      <c r="D25" s="44" t="str">
        <f ca="1">IF(A25&gt;jumlahBarang,"",IF(INDEX(Table1[C],newestIdRow-offset+A25-1)="","",INDEX(Table1[C],newestIdRow-offset+A25-1)))</f>
        <v/>
      </c>
      <c r="E25" s="45" t="str">
        <f ca="1">IF(A25&gt;jumlahBarang,"",INDEX(Table1[Column12],newestIdRow-offset+A25-1))</f>
        <v/>
      </c>
      <c r="G25" s="46"/>
      <c r="H25" s="47" t="str">
        <f ca="1">IF(A25&gt;jumlahBarang,"",INDEX(Table1[Column13],newestIdRow-offset+A25-1))</f>
        <v/>
      </c>
      <c r="I25" s="48" t="str">
        <f ca="1">IF(A25&gt;jumlahBarang,"",IF(INDEX(Table1[Column14],newestIdRow-offset+A25-1)="","",INDEX(Table1[Column14],newestIdRow-offset+A25-1)))</f>
        <v/>
      </c>
      <c r="J25" s="48" t="str">
        <f ca="1">IF(A25&gt;jumlahBarang,"",IF(INDEX(Table1[Column15],newestIdRow-offset+A25-1)="","",INDEX(Table1[Column15],newestIdRow-offset+A25-1)))</f>
        <v/>
      </c>
      <c r="K25" s="49" t="str">
        <f ca="1">IF(A25&gt;jumlahBarang,"",INDEX(Table1[Amount],newestIdRow-offset+A25-1))</f>
        <v/>
      </c>
      <c r="L25" s="33"/>
    </row>
    <row r="26" spans="1:12" s="8" customFormat="1" ht="14.1" customHeight="1">
      <c r="A26" s="42">
        <v>16</v>
      </c>
      <c r="B26" s="43" t="str">
        <f ca="1">IF(A26&gt;jumlahBarang,"",INDEX(Table1[Qty],newestIdRow-offset+A26-1))</f>
        <v/>
      </c>
      <c r="C26" s="43" t="str">
        <f ca="1">IF(A26&gt;jumlahBarang,"",UPPER((INDEX(Table1[Unit],newestIdRow-offset+A26-1))))</f>
        <v/>
      </c>
      <c r="D26" s="44" t="str">
        <f ca="1">IF(A26&gt;jumlahBarang,"",IF(INDEX(Table1[C],newestIdRow-offset+A26-1)="","",INDEX(Table1[C],newestIdRow-offset+A26-1)))</f>
        <v/>
      </c>
      <c r="E26" s="259" t="str">
        <f ca="1">IF(A26&gt;jumlahBarang,"",INDEX(Table1[Column12],newestIdRow-offset+A26-1))</f>
        <v/>
      </c>
      <c r="G26" s="46"/>
      <c r="H26" s="47" t="str">
        <f ca="1">IF(A26&gt;jumlahBarang,"",INDEX(Table1[Column13],newestIdRow-offset+A26-1))</f>
        <v/>
      </c>
      <c r="I26" s="48" t="str">
        <f ca="1">IF(A26&gt;jumlahBarang,"",IF(INDEX(Table1[Column14],newestIdRow-offset+A26-1)="","",INDEX(Table1[Column14],newestIdRow-offset+A26-1)))</f>
        <v/>
      </c>
      <c r="J26" s="48" t="str">
        <f ca="1">IF(A26&gt;jumlahBarang,"",IF(INDEX(Table1[Column15],newestIdRow-offset+A26-1)="","",INDEX(Table1[Column15],newestIdRow-offset+A26-1)))</f>
        <v/>
      </c>
      <c r="K26" s="49" t="str">
        <f ca="1">IF(A26&gt;jumlahBarang,"",INDEX(Table1[Amount],newestIdRow-offset+A26-1))</f>
        <v/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515"/>
      <c r="K28" s="516"/>
    </row>
    <row r="29" spans="1:12" s="8" customFormat="1" ht="16.5" customHeight="1">
      <c r="A29" s="5"/>
      <c r="B29" s="58"/>
      <c r="C29" s="58"/>
      <c r="D29" s="23"/>
      <c r="I29" s="60" t="s">
        <v>21</v>
      </c>
      <c r="J29" s="456">
        <f ca="1">INDEX(pajak[Sub Total],MATCH(newestIdRow,pajak[//],0))</f>
        <v>1514160</v>
      </c>
      <c r="K29" s="517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518"/>
      <c r="K30" s="518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>
        <f ca="1">J29*J31</f>
        <v>0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516"/>
      <c r="K32" s="516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519">
        <f ca="1">INDEX(pajak[PPN 11%],MATCH(newestIdRow,pajak[//],0))</f>
        <v>150051.89189189186</v>
      </c>
      <c r="K33" s="520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516"/>
      <c r="K34" s="516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>
        <f ca="1">INDEX(pajak[Total Invoice],MATCH(newestIdRow,pajak[//],0))</f>
        <v>1514160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70"/>
      <c r="I37" s="260" t="s">
        <v>12</v>
      </c>
      <c r="J37" s="521" t="str">
        <f ca="1">INDEX(pajak[pembuat nota],MATCH(newestIdRow,pajak[//],0))</f>
        <v>NOVI / CONDRO</v>
      </c>
      <c r="K37" s="522"/>
    </row>
    <row r="38" spans="1:12" s="8" customFormat="1" ht="13.5" customHeight="1">
      <c r="A38" s="5"/>
      <c r="B38" s="5"/>
      <c r="H38" s="70"/>
      <c r="I38" s="71" t="s">
        <v>13</v>
      </c>
      <c r="J38" s="521" t="str">
        <f ca="1">INDEX(pajak[edited],MATCH(newestIdRow,pajak[//],0))</f>
        <v/>
      </c>
      <c r="K38" s="522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>
        <f ca="1">E3</f>
        <v>24050038</v>
      </c>
      <c r="F41" s="165"/>
      <c r="G41" s="166" t="s">
        <v>16</v>
      </c>
      <c r="H41" s="523" t="str">
        <f ca="1">H3</f>
        <v>CV GITA CAHYA</v>
      </c>
      <c r="I41" s="523"/>
      <c r="J41" s="523"/>
      <c r="K41" s="524"/>
      <c r="L41" s="167"/>
    </row>
    <row r="42" spans="1:12" s="8" customFormat="1" ht="7.5" customHeight="1">
      <c r="A42" s="160"/>
      <c r="B42" s="168"/>
      <c r="C42" s="169"/>
      <c r="D42" s="170"/>
      <c r="E42" s="171"/>
      <c r="F42" s="477" t="s">
        <v>18</v>
      </c>
      <c r="G42" s="172"/>
      <c r="H42" s="525"/>
      <c r="I42" s="525"/>
      <c r="J42" s="525"/>
      <c r="K42" s="526"/>
      <c r="L42" s="167"/>
    </row>
    <row r="43" spans="1:12" s="8" customFormat="1" ht="16.5" customHeight="1">
      <c r="A43" s="160"/>
      <c r="B43" s="161" t="s">
        <v>2</v>
      </c>
      <c r="C43" s="162"/>
      <c r="D43" s="478">
        <f ca="1">D5</f>
        <v>45441</v>
      </c>
      <c r="E43" s="479"/>
      <c r="F43" s="477"/>
      <c r="G43" s="173"/>
      <c r="H43" s="480" t="str">
        <f ca="1">H5</f>
        <v>( DHIAN )</v>
      </c>
      <c r="I43" s="480"/>
      <c r="J43" s="480"/>
      <c r="K43" s="481"/>
      <c r="L43" s="174"/>
    </row>
    <row r="44" spans="1:12" s="8" customFormat="1" ht="7.5" customHeight="1">
      <c r="A44" s="160"/>
      <c r="B44" s="168"/>
      <c r="C44" s="169"/>
      <c r="D44" s="170"/>
      <c r="E44" s="171"/>
      <c r="F44" s="477"/>
      <c r="G44" s="173"/>
      <c r="H44" s="482" t="str">
        <f ca="1">H6</f>
        <v>BANJARNEGARA</v>
      </c>
      <c r="I44" s="482"/>
      <c r="J44" s="482"/>
      <c r="K44" s="483"/>
      <c r="L44" s="175"/>
    </row>
    <row r="45" spans="1:12" s="8" customFormat="1" ht="16.5" customHeight="1">
      <c r="A45" s="160"/>
      <c r="B45" s="161" t="s">
        <v>3</v>
      </c>
      <c r="C45" s="162"/>
      <c r="D45" s="176" t="str">
        <f ca="1">D7</f>
        <v>A 4839</v>
      </c>
      <c r="E45" s="164"/>
      <c r="F45" s="177"/>
      <c r="G45" s="178"/>
      <c r="H45" s="484"/>
      <c r="I45" s="484"/>
      <c r="J45" s="484"/>
      <c r="K45" s="485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>
        <f t="shared" ref="B49:E64" ca="1" si="0">B11</f>
        <v>12</v>
      </c>
      <c r="C49" s="203" t="str">
        <f t="shared" ca="1" si="0"/>
        <v>LSN</v>
      </c>
      <c r="D49" s="204" t="str">
        <f t="shared" ca="1" si="0"/>
        <v/>
      </c>
      <c r="E49" s="205" t="str">
        <f t="shared" ca="1" si="0"/>
        <v>BALLPEN KENKO K-80</v>
      </c>
      <c r="F49" s="182"/>
      <c r="G49" s="206"/>
      <c r="H49" s="207">
        <f t="shared" ref="H49:K64" ca="1" si="1">H11</f>
        <v>28200</v>
      </c>
      <c r="I49" s="208">
        <f t="shared" ca="1" si="1"/>
        <v>0.1</v>
      </c>
      <c r="J49" s="208" t="str">
        <f t="shared" ca="1" si="1"/>
        <v/>
      </c>
      <c r="K49" s="209">
        <f t="shared" ca="1" si="1"/>
        <v>304560</v>
      </c>
      <c r="L49" s="193"/>
    </row>
    <row r="50" spans="1:12" s="8" customFormat="1" ht="14.1" customHeight="1">
      <c r="A50" s="202">
        <v>2</v>
      </c>
      <c r="B50" s="426">
        <f t="shared" ca="1" si="0"/>
        <v>36</v>
      </c>
      <c r="C50" s="203" t="str">
        <f t="shared" ca="1" si="0"/>
        <v>PCS</v>
      </c>
      <c r="D50" s="204" t="str">
        <f t="shared" ca="1" si="0"/>
        <v/>
      </c>
      <c r="E50" s="205" t="str">
        <f t="shared" ca="1" si="0"/>
        <v xml:space="preserve">PENSIL WARNA KENKO BI-COLOR NMCP-12FBC </v>
      </c>
      <c r="F50" s="182"/>
      <c r="G50" s="206"/>
      <c r="H50" s="207">
        <f t="shared" ca="1" si="1"/>
        <v>15000</v>
      </c>
      <c r="I50" s="208">
        <f t="shared" ca="1" si="1"/>
        <v>0.1</v>
      </c>
      <c r="J50" s="208" t="str">
        <f t="shared" ca="1" si="1"/>
        <v/>
      </c>
      <c r="K50" s="209">
        <f t="shared" ca="1" si="1"/>
        <v>486000</v>
      </c>
      <c r="L50" s="193"/>
    </row>
    <row r="51" spans="1:12" s="8" customFormat="1" ht="14.1" customHeight="1">
      <c r="A51" s="202">
        <v>3</v>
      </c>
      <c r="B51" s="426">
        <f t="shared" ca="1" si="0"/>
        <v>12</v>
      </c>
      <c r="C51" s="203" t="str">
        <f t="shared" ca="1" si="0"/>
        <v>PCS</v>
      </c>
      <c r="D51" s="204" t="str">
        <f t="shared" ca="1" si="0"/>
        <v/>
      </c>
      <c r="E51" s="205" t="str">
        <f t="shared" ca="1" si="0"/>
        <v xml:space="preserve">PENSIL WARNA KENKO BI-COLOR CP-24FBC </v>
      </c>
      <c r="F51" s="182"/>
      <c r="G51" s="206"/>
      <c r="H51" s="207">
        <f t="shared" ca="1" si="1"/>
        <v>24500</v>
      </c>
      <c r="I51" s="208">
        <f t="shared" ca="1" si="1"/>
        <v>0.1</v>
      </c>
      <c r="J51" s="208" t="str">
        <f t="shared" ca="1" si="1"/>
        <v/>
      </c>
      <c r="K51" s="209">
        <f t="shared" ca="1" si="1"/>
        <v>264600</v>
      </c>
      <c r="L51" s="193"/>
    </row>
    <row r="52" spans="1:12" s="8" customFormat="1" ht="14.1" customHeight="1">
      <c r="A52" s="202">
        <v>4</v>
      </c>
      <c r="B52" s="426">
        <f t="shared" ca="1" si="0"/>
        <v>24</v>
      </c>
      <c r="C52" s="203" t="str">
        <f t="shared" ca="1" si="0"/>
        <v>PCS</v>
      </c>
      <c r="D52" s="204" t="str">
        <f t="shared" ca="1" si="0"/>
        <v/>
      </c>
      <c r="E52" s="205" t="str">
        <f t="shared" ca="1" si="0"/>
        <v>PENSIL WARNA KENKO NCP-12C</v>
      </c>
      <c r="F52" s="182"/>
      <c r="G52" s="206"/>
      <c r="H52" s="207">
        <f t="shared" ca="1" si="1"/>
        <v>13000</v>
      </c>
      <c r="I52" s="208">
        <f t="shared" ca="1" si="1"/>
        <v>0.1</v>
      </c>
      <c r="J52" s="208" t="str">
        <f t="shared" ca="1" si="1"/>
        <v/>
      </c>
      <c r="K52" s="209">
        <f t="shared" ca="1" si="1"/>
        <v>280800</v>
      </c>
      <c r="L52" s="193"/>
    </row>
    <row r="53" spans="1:12" s="8" customFormat="1" ht="14.1" customHeight="1">
      <c r="A53" s="202">
        <v>5</v>
      </c>
      <c r="B53" s="426">
        <f t="shared" ca="1" si="0"/>
        <v>10</v>
      </c>
      <c r="C53" s="203" t="str">
        <f t="shared" ca="1" si="0"/>
        <v>LSN</v>
      </c>
      <c r="D53" s="204" t="str">
        <f t="shared" ca="1" si="0"/>
        <v/>
      </c>
      <c r="E53" s="205" t="str">
        <f t="shared" ca="1" si="0"/>
        <v>LEM CAIR 35 ML KENKO LG-35</v>
      </c>
      <c r="F53" s="182"/>
      <c r="G53" s="206"/>
      <c r="H53" s="207">
        <f t="shared" ca="1" si="1"/>
        <v>19800</v>
      </c>
      <c r="I53" s="208">
        <f t="shared" ca="1" si="1"/>
        <v>0.1</v>
      </c>
      <c r="J53" s="208" t="str">
        <f t="shared" ca="1" si="1"/>
        <v/>
      </c>
      <c r="K53" s="209">
        <f t="shared" ca="1" si="1"/>
        <v>178200</v>
      </c>
      <c r="L53" s="193"/>
    </row>
    <row r="54" spans="1:12" s="8" customFormat="1" ht="14.1" customHeight="1">
      <c r="A54" s="202">
        <v>6</v>
      </c>
      <c r="B54" s="426" t="str">
        <f t="shared" ca="1" si="0"/>
        <v/>
      </c>
      <c r="C54" s="203" t="str">
        <f t="shared" ca="1" si="0"/>
        <v/>
      </c>
      <c r="D54" s="204" t="str">
        <f t="shared" ca="1" si="0"/>
        <v/>
      </c>
      <c r="E54" s="205" t="str">
        <f t="shared" ca="1" si="0"/>
        <v/>
      </c>
      <c r="F54" s="182"/>
      <c r="G54" s="206"/>
      <c r="H54" s="207" t="str">
        <f t="shared" ca="1" si="1"/>
        <v/>
      </c>
      <c r="I54" s="208" t="str">
        <f t="shared" ca="1" si="1"/>
        <v/>
      </c>
      <c r="J54" s="208" t="str">
        <f t="shared" ca="1" si="1"/>
        <v/>
      </c>
      <c r="K54" s="209" t="str">
        <f t="shared" ca="1" si="1"/>
        <v/>
      </c>
      <c r="L54" s="193"/>
    </row>
    <row r="55" spans="1:12" s="8" customFormat="1" ht="14.1" customHeight="1">
      <c r="A55" s="202">
        <v>7</v>
      </c>
      <c r="B55" s="426" t="str">
        <f t="shared" ca="1" si="0"/>
        <v/>
      </c>
      <c r="C55" s="203" t="str">
        <f t="shared" ca="1" si="0"/>
        <v/>
      </c>
      <c r="D55" s="204" t="str">
        <f t="shared" ca="1" si="0"/>
        <v/>
      </c>
      <c r="E55" s="205" t="str">
        <f t="shared" ca="1" si="0"/>
        <v/>
      </c>
      <c r="F55" s="182"/>
      <c r="G55" s="206"/>
      <c r="H55" s="207" t="str">
        <f t="shared" ca="1" si="1"/>
        <v/>
      </c>
      <c r="I55" s="208" t="str">
        <f t="shared" ca="1" si="1"/>
        <v/>
      </c>
      <c r="J55" s="208" t="str">
        <f t="shared" ca="1" si="1"/>
        <v/>
      </c>
      <c r="K55" s="209" t="str">
        <f t="shared" ca="1" si="1"/>
        <v/>
      </c>
      <c r="L55" s="193"/>
    </row>
    <row r="56" spans="1:12" s="8" customFormat="1" ht="14.1" customHeight="1">
      <c r="A56" s="202">
        <v>8</v>
      </c>
      <c r="B56" s="426" t="str">
        <f t="shared" ca="1" si="0"/>
        <v/>
      </c>
      <c r="C56" s="203" t="str">
        <f t="shared" ca="1" si="0"/>
        <v/>
      </c>
      <c r="D56" s="204" t="str">
        <f t="shared" ca="1" si="0"/>
        <v/>
      </c>
      <c r="E56" s="205" t="str">
        <f t="shared" ca="1" si="0"/>
        <v/>
      </c>
      <c r="F56" s="182"/>
      <c r="G56" s="206"/>
      <c r="H56" s="207" t="str">
        <f t="shared" ca="1" si="1"/>
        <v/>
      </c>
      <c r="I56" s="208" t="str">
        <f t="shared" ca="1" si="1"/>
        <v/>
      </c>
      <c r="J56" s="208" t="str">
        <f t="shared" ca="1" si="1"/>
        <v/>
      </c>
      <c r="K56" s="209" t="str">
        <f t="shared" ca="1" si="1"/>
        <v/>
      </c>
      <c r="L56" s="193"/>
    </row>
    <row r="57" spans="1:12" s="8" customFormat="1" ht="14.1" customHeight="1">
      <c r="A57" s="202">
        <v>9</v>
      </c>
      <c r="B57" s="426" t="str">
        <f t="shared" ca="1" si="0"/>
        <v/>
      </c>
      <c r="C57" s="203" t="str">
        <f t="shared" ca="1" si="0"/>
        <v/>
      </c>
      <c r="D57" s="204" t="str">
        <f t="shared" ca="1" si="0"/>
        <v/>
      </c>
      <c r="E57" s="205" t="str">
        <f t="shared" ca="1" si="0"/>
        <v/>
      </c>
      <c r="F57" s="182"/>
      <c r="G57" s="206"/>
      <c r="H57" s="207" t="str">
        <f t="shared" ca="1" si="1"/>
        <v/>
      </c>
      <c r="I57" s="208" t="str">
        <f t="shared" ca="1" si="1"/>
        <v/>
      </c>
      <c r="J57" s="208" t="str">
        <f t="shared" ca="1" si="1"/>
        <v/>
      </c>
      <c r="K57" s="209" t="str">
        <f t="shared" ca="1" si="1"/>
        <v/>
      </c>
      <c r="L57" s="193"/>
    </row>
    <row r="58" spans="1:12" s="8" customFormat="1" ht="14.1" customHeight="1">
      <c r="A58" s="202">
        <v>10</v>
      </c>
      <c r="B58" s="426" t="str">
        <f t="shared" ca="1" si="0"/>
        <v/>
      </c>
      <c r="C58" s="203" t="str">
        <f t="shared" ca="1" si="0"/>
        <v/>
      </c>
      <c r="D58" s="204" t="str">
        <f t="shared" ca="1" si="0"/>
        <v/>
      </c>
      <c r="E58" s="205" t="str">
        <f t="shared" ca="1" si="0"/>
        <v/>
      </c>
      <c r="F58" s="182"/>
      <c r="G58" s="206"/>
      <c r="H58" s="207" t="str">
        <f t="shared" ca="1" si="1"/>
        <v/>
      </c>
      <c r="I58" s="208" t="str">
        <f t="shared" ca="1" si="1"/>
        <v/>
      </c>
      <c r="J58" s="208" t="str">
        <f t="shared" ca="1" si="1"/>
        <v/>
      </c>
      <c r="K58" s="209" t="str">
        <f t="shared" ca="1" si="1"/>
        <v/>
      </c>
      <c r="L58" s="193"/>
    </row>
    <row r="59" spans="1:12" s="8" customFormat="1" ht="14.1" customHeight="1">
      <c r="A59" s="202">
        <v>11</v>
      </c>
      <c r="B59" s="426" t="str">
        <f t="shared" ca="1" si="0"/>
        <v/>
      </c>
      <c r="C59" s="203" t="str">
        <f t="shared" ca="1" si="0"/>
        <v/>
      </c>
      <c r="D59" s="204" t="str">
        <f t="shared" ca="1" si="0"/>
        <v/>
      </c>
      <c r="E59" s="205" t="str">
        <f t="shared" ca="1" si="0"/>
        <v/>
      </c>
      <c r="F59" s="182"/>
      <c r="G59" s="206"/>
      <c r="H59" s="207" t="str">
        <f t="shared" ca="1" si="1"/>
        <v/>
      </c>
      <c r="I59" s="208" t="str">
        <f t="shared" ca="1" si="1"/>
        <v/>
      </c>
      <c r="J59" s="208" t="str">
        <f t="shared" ca="1" si="1"/>
        <v/>
      </c>
      <c r="K59" s="209" t="str">
        <f t="shared" ca="1" si="1"/>
        <v/>
      </c>
      <c r="L59" s="193"/>
    </row>
    <row r="60" spans="1:12" s="8" customFormat="1" ht="14.1" customHeight="1">
      <c r="A60" s="202">
        <v>12</v>
      </c>
      <c r="B60" s="426" t="str">
        <f t="shared" ca="1" si="0"/>
        <v/>
      </c>
      <c r="C60" s="203" t="str">
        <f t="shared" ca="1" si="0"/>
        <v/>
      </c>
      <c r="D60" s="204" t="str">
        <f t="shared" ca="1" si="0"/>
        <v/>
      </c>
      <c r="E60" s="205" t="str">
        <f t="shared" ca="1" si="0"/>
        <v/>
      </c>
      <c r="F60" s="182"/>
      <c r="G60" s="206"/>
      <c r="H60" s="207" t="str">
        <f t="shared" ca="1" si="1"/>
        <v/>
      </c>
      <c r="I60" s="208" t="str">
        <f t="shared" ca="1" si="1"/>
        <v/>
      </c>
      <c r="J60" s="208" t="str">
        <f t="shared" ca="1" si="1"/>
        <v/>
      </c>
      <c r="K60" s="209" t="str">
        <f t="shared" ca="1" si="1"/>
        <v/>
      </c>
      <c r="L60" s="193"/>
    </row>
    <row r="61" spans="1:12" s="8" customFormat="1" ht="14.1" customHeight="1">
      <c r="A61" s="202">
        <v>13</v>
      </c>
      <c r="B61" s="426" t="str">
        <f t="shared" ca="1" si="0"/>
        <v/>
      </c>
      <c r="C61" s="203" t="str">
        <f t="shared" ca="1" si="0"/>
        <v/>
      </c>
      <c r="D61" s="204" t="str">
        <f t="shared" ca="1" si="0"/>
        <v/>
      </c>
      <c r="E61" s="205" t="str">
        <f t="shared" ca="1" si="0"/>
        <v/>
      </c>
      <c r="F61" s="182"/>
      <c r="G61" s="206"/>
      <c r="H61" s="207" t="str">
        <f t="shared" ca="1" si="1"/>
        <v/>
      </c>
      <c r="I61" s="208" t="str">
        <f t="shared" ca="1" si="1"/>
        <v/>
      </c>
      <c r="J61" s="208" t="str">
        <f t="shared" ca="1" si="1"/>
        <v/>
      </c>
      <c r="K61" s="209" t="str">
        <f t="shared" ca="1" si="1"/>
        <v/>
      </c>
      <c r="L61" s="193"/>
    </row>
    <row r="62" spans="1:12" s="8" customFormat="1" ht="14.1" customHeight="1">
      <c r="A62" s="202">
        <v>14</v>
      </c>
      <c r="B62" s="426" t="str">
        <f t="shared" ca="1" si="0"/>
        <v/>
      </c>
      <c r="C62" s="203" t="str">
        <f t="shared" ca="1" si="0"/>
        <v/>
      </c>
      <c r="D62" s="204" t="str">
        <f t="shared" ca="1" si="0"/>
        <v/>
      </c>
      <c r="E62" s="205" t="str">
        <f t="shared" ca="1" si="0"/>
        <v/>
      </c>
      <c r="F62" s="182"/>
      <c r="G62" s="206"/>
      <c r="H62" s="207" t="str">
        <f t="shared" ca="1" si="1"/>
        <v/>
      </c>
      <c r="I62" s="208" t="str">
        <f t="shared" ca="1" si="1"/>
        <v/>
      </c>
      <c r="J62" s="208" t="str">
        <f t="shared" ca="1" si="1"/>
        <v/>
      </c>
      <c r="K62" s="209" t="str">
        <f t="shared" ca="1" si="1"/>
        <v/>
      </c>
      <c r="L62" s="193"/>
    </row>
    <row r="63" spans="1:12" s="8" customFormat="1" ht="14.1" customHeight="1">
      <c r="A63" s="202">
        <v>15</v>
      </c>
      <c r="B63" s="426" t="str">
        <f t="shared" ca="1" si="0"/>
        <v/>
      </c>
      <c r="C63" s="203" t="str">
        <f t="shared" ca="1" si="0"/>
        <v/>
      </c>
      <c r="D63" s="204" t="str">
        <f t="shared" ca="1" si="0"/>
        <v/>
      </c>
      <c r="E63" s="205" t="str">
        <f t="shared" ca="1" si="0"/>
        <v/>
      </c>
      <c r="F63" s="182"/>
      <c r="G63" s="206"/>
      <c r="H63" s="207" t="str">
        <f t="shared" ca="1" si="1"/>
        <v/>
      </c>
      <c r="I63" s="208" t="str">
        <f t="shared" ca="1" si="1"/>
        <v/>
      </c>
      <c r="J63" s="208" t="str">
        <f t="shared" ca="1" si="1"/>
        <v/>
      </c>
      <c r="K63" s="209" t="str">
        <f t="shared" ca="1" si="1"/>
        <v/>
      </c>
      <c r="L63" s="193"/>
    </row>
    <row r="64" spans="1:12" s="8" customFormat="1" ht="14.1" customHeight="1">
      <c r="A64" s="202">
        <v>16</v>
      </c>
      <c r="B64" s="426" t="str">
        <f t="shared" ca="1" si="0"/>
        <v/>
      </c>
      <c r="C64" s="203" t="str">
        <f t="shared" ca="1" si="0"/>
        <v/>
      </c>
      <c r="D64" s="204" t="str">
        <f t="shared" ca="1" si="0"/>
        <v/>
      </c>
      <c r="E64" s="205" t="str">
        <f t="shared" ca="1" si="0"/>
        <v/>
      </c>
      <c r="F64" s="182"/>
      <c r="G64" s="206"/>
      <c r="H64" s="207" t="str">
        <f t="shared" ca="1" si="1"/>
        <v/>
      </c>
      <c r="I64" s="208" t="str">
        <f t="shared" ca="1" si="1"/>
        <v/>
      </c>
      <c r="J64" s="208" t="str">
        <f t="shared" ca="1" si="1"/>
        <v/>
      </c>
      <c r="K64" s="209" t="str">
        <f t="shared" ca="1" si="1"/>
        <v/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86"/>
      <c r="K66" s="486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87">
        <f ca="1">J29</f>
        <v>1514160</v>
      </c>
      <c r="K67" s="488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89"/>
      <c r="K68" s="489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>
        <f ca="1">K31</f>
        <v>0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86"/>
      <c r="K70" s="486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87">
        <f ca="1">J33</f>
        <v>150051.89189189186</v>
      </c>
      <c r="K71" s="488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86"/>
      <c r="K72" s="486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>
        <f ca="1">K35</f>
        <v>1514160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90" t="str">
        <f ca="1">J37</f>
        <v>NOVI / CONDRO</v>
      </c>
      <c r="K75" s="491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90" t="str">
        <f ca="1">J38</f>
        <v/>
      </c>
      <c r="K76" s="491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>
        <f ca="1">E41</f>
        <v>24050038</v>
      </c>
      <c r="F79" s="84"/>
      <c r="G79" s="85" t="s">
        <v>16</v>
      </c>
      <c r="H79" s="527" t="str">
        <f ca="1">H41</f>
        <v>CV GITA CAHYA</v>
      </c>
      <c r="I79" s="527"/>
      <c r="J79" s="527"/>
      <c r="K79" s="528"/>
      <c r="L79" s="86"/>
    </row>
    <row r="80" spans="1:12" s="8" customFormat="1" ht="7.5" customHeight="1">
      <c r="A80" s="79"/>
      <c r="B80" s="87"/>
      <c r="C80" s="88"/>
      <c r="D80" s="89"/>
      <c r="E80" s="90"/>
      <c r="F80" s="496" t="s">
        <v>18</v>
      </c>
      <c r="G80" s="91"/>
      <c r="H80" s="529"/>
      <c r="I80" s="529"/>
      <c r="J80" s="529"/>
      <c r="K80" s="530"/>
      <c r="L80" s="86"/>
    </row>
    <row r="81" spans="1:12" s="8" customFormat="1" ht="16.5" customHeight="1">
      <c r="A81" s="79"/>
      <c r="B81" s="80" t="s">
        <v>2</v>
      </c>
      <c r="C81" s="81"/>
      <c r="D81" s="497">
        <f ca="1">D43</f>
        <v>45441</v>
      </c>
      <c r="E81" s="498"/>
      <c r="F81" s="496"/>
      <c r="G81" s="92"/>
      <c r="H81" s="499" t="str">
        <f ca="1">H43</f>
        <v>( DHIAN )</v>
      </c>
      <c r="I81" s="499"/>
      <c r="J81" s="499"/>
      <c r="K81" s="500"/>
      <c r="L81" s="93"/>
    </row>
    <row r="82" spans="1:12" s="8" customFormat="1" ht="7.5" customHeight="1">
      <c r="A82" s="79"/>
      <c r="B82" s="87"/>
      <c r="C82" s="88"/>
      <c r="D82" s="89"/>
      <c r="E82" s="90"/>
      <c r="F82" s="496"/>
      <c r="G82" s="92"/>
      <c r="H82" s="501" t="str">
        <f ca="1">H44</f>
        <v>BANJARNEGARA</v>
      </c>
      <c r="I82" s="501"/>
      <c r="J82" s="501"/>
      <c r="K82" s="502"/>
      <c r="L82" s="94"/>
    </row>
    <row r="83" spans="1:12" s="8" customFormat="1" ht="16.5" customHeight="1">
      <c r="A83" s="79"/>
      <c r="B83" s="80" t="s">
        <v>3</v>
      </c>
      <c r="C83" s="81"/>
      <c r="D83" s="95" t="str">
        <f ca="1">D45</f>
        <v>A 4839</v>
      </c>
      <c r="E83" s="83"/>
      <c r="F83" s="96"/>
      <c r="G83" s="97"/>
      <c r="H83" s="503"/>
      <c r="I83" s="503"/>
      <c r="J83" s="503"/>
      <c r="K83" s="504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>
        <f t="shared" ref="B87:E102" ca="1" si="2">B49</f>
        <v>12</v>
      </c>
      <c r="C87" s="122" t="str">
        <f t="shared" ca="1" si="2"/>
        <v>LSN</v>
      </c>
      <c r="D87" s="123" t="str">
        <f t="shared" ca="1" si="2"/>
        <v/>
      </c>
      <c r="E87" s="124" t="str">
        <f t="shared" ca="1" si="2"/>
        <v>BALLPEN KENKO K-80</v>
      </c>
      <c r="F87" s="101"/>
      <c r="G87" s="125"/>
      <c r="H87" s="126">
        <f t="shared" ref="H87:K102" ca="1" si="3">H49</f>
        <v>28200</v>
      </c>
      <c r="I87" s="127">
        <f t="shared" ca="1" si="3"/>
        <v>0.1</v>
      </c>
      <c r="J87" s="127" t="str">
        <f t="shared" ca="1" si="3"/>
        <v/>
      </c>
      <c r="K87" s="128">
        <f t="shared" ca="1" si="3"/>
        <v>304560</v>
      </c>
      <c r="L87" s="112"/>
    </row>
    <row r="88" spans="1:12" s="8" customFormat="1" ht="14.1" customHeight="1">
      <c r="A88" s="121">
        <v>2</v>
      </c>
      <c r="B88" s="427">
        <f t="shared" ca="1" si="2"/>
        <v>36</v>
      </c>
      <c r="C88" s="122" t="str">
        <f t="shared" ca="1" si="2"/>
        <v>PCS</v>
      </c>
      <c r="D88" s="123" t="str">
        <f t="shared" ca="1" si="2"/>
        <v/>
      </c>
      <c r="E88" s="124" t="str">
        <f t="shared" ca="1" si="2"/>
        <v xml:space="preserve">PENSIL WARNA KENKO BI-COLOR NMCP-12FBC </v>
      </c>
      <c r="F88" s="101"/>
      <c r="G88" s="125"/>
      <c r="H88" s="126">
        <f t="shared" ca="1" si="3"/>
        <v>15000</v>
      </c>
      <c r="I88" s="127">
        <f t="shared" ca="1" si="3"/>
        <v>0.1</v>
      </c>
      <c r="J88" s="127" t="str">
        <f t="shared" ca="1" si="3"/>
        <v/>
      </c>
      <c r="K88" s="128">
        <f t="shared" ca="1" si="3"/>
        <v>486000</v>
      </c>
      <c r="L88" s="112"/>
    </row>
    <row r="89" spans="1:12" s="8" customFormat="1" ht="14.1" customHeight="1">
      <c r="A89" s="121">
        <v>3</v>
      </c>
      <c r="B89" s="427">
        <f t="shared" ca="1" si="2"/>
        <v>12</v>
      </c>
      <c r="C89" s="122" t="str">
        <f t="shared" ca="1" si="2"/>
        <v>PCS</v>
      </c>
      <c r="D89" s="123" t="str">
        <f t="shared" ca="1" si="2"/>
        <v/>
      </c>
      <c r="E89" s="124" t="str">
        <f t="shared" ca="1" si="2"/>
        <v xml:space="preserve">PENSIL WARNA KENKO BI-COLOR CP-24FBC </v>
      </c>
      <c r="F89" s="101"/>
      <c r="G89" s="125"/>
      <c r="H89" s="126">
        <f t="shared" ca="1" si="3"/>
        <v>24500</v>
      </c>
      <c r="I89" s="127">
        <f t="shared" ca="1" si="3"/>
        <v>0.1</v>
      </c>
      <c r="J89" s="127" t="str">
        <f t="shared" ca="1" si="3"/>
        <v/>
      </c>
      <c r="K89" s="128">
        <f t="shared" ca="1" si="3"/>
        <v>264600</v>
      </c>
      <c r="L89" s="112"/>
    </row>
    <row r="90" spans="1:12" s="8" customFormat="1" ht="14.1" customHeight="1">
      <c r="A90" s="121">
        <v>4</v>
      </c>
      <c r="B90" s="427">
        <f t="shared" ca="1" si="2"/>
        <v>24</v>
      </c>
      <c r="C90" s="122" t="str">
        <f t="shared" ca="1" si="2"/>
        <v>PCS</v>
      </c>
      <c r="D90" s="123" t="str">
        <f t="shared" ca="1" si="2"/>
        <v/>
      </c>
      <c r="E90" s="124" t="str">
        <f t="shared" ca="1" si="2"/>
        <v>PENSIL WARNA KENKO NCP-12C</v>
      </c>
      <c r="F90" s="101"/>
      <c r="G90" s="125"/>
      <c r="H90" s="126">
        <f t="shared" ca="1" si="3"/>
        <v>13000</v>
      </c>
      <c r="I90" s="127">
        <f t="shared" ca="1" si="3"/>
        <v>0.1</v>
      </c>
      <c r="J90" s="127" t="str">
        <f t="shared" ca="1" si="3"/>
        <v/>
      </c>
      <c r="K90" s="128">
        <f t="shared" ca="1" si="3"/>
        <v>280800</v>
      </c>
      <c r="L90" s="112"/>
    </row>
    <row r="91" spans="1:12" s="8" customFormat="1" ht="14.1" customHeight="1">
      <c r="A91" s="121">
        <v>5</v>
      </c>
      <c r="B91" s="427">
        <f t="shared" ca="1" si="2"/>
        <v>10</v>
      </c>
      <c r="C91" s="122" t="str">
        <f t="shared" ca="1" si="2"/>
        <v>LSN</v>
      </c>
      <c r="D91" s="123" t="str">
        <f t="shared" ca="1" si="2"/>
        <v/>
      </c>
      <c r="E91" s="124" t="str">
        <f t="shared" ca="1" si="2"/>
        <v>LEM CAIR 35 ML KENKO LG-35</v>
      </c>
      <c r="F91" s="101"/>
      <c r="G91" s="125"/>
      <c r="H91" s="126">
        <f t="shared" ca="1" si="3"/>
        <v>19800</v>
      </c>
      <c r="I91" s="127">
        <f t="shared" ca="1" si="3"/>
        <v>0.1</v>
      </c>
      <c r="J91" s="127" t="str">
        <f t="shared" ca="1" si="3"/>
        <v/>
      </c>
      <c r="K91" s="128">
        <f t="shared" ca="1" si="3"/>
        <v>178200</v>
      </c>
      <c r="L91" s="112"/>
    </row>
    <row r="92" spans="1:12" s="8" customFormat="1" ht="14.1" customHeight="1">
      <c r="A92" s="121">
        <v>6</v>
      </c>
      <c r="B92" s="427" t="str">
        <f t="shared" ca="1" si="2"/>
        <v/>
      </c>
      <c r="C92" s="122" t="str">
        <f t="shared" ca="1" si="2"/>
        <v/>
      </c>
      <c r="D92" s="123" t="str">
        <f t="shared" ca="1" si="2"/>
        <v/>
      </c>
      <c r="E92" s="124" t="str">
        <f t="shared" ca="1" si="2"/>
        <v/>
      </c>
      <c r="F92" s="101"/>
      <c r="G92" s="125"/>
      <c r="H92" s="126" t="str">
        <f t="shared" ca="1" si="3"/>
        <v/>
      </c>
      <c r="I92" s="127" t="str">
        <f t="shared" ca="1" si="3"/>
        <v/>
      </c>
      <c r="J92" s="127" t="str">
        <f t="shared" ca="1" si="3"/>
        <v/>
      </c>
      <c r="K92" s="128" t="str">
        <f t="shared" ca="1" si="3"/>
        <v/>
      </c>
      <c r="L92" s="112"/>
    </row>
    <row r="93" spans="1:12" s="8" customFormat="1" ht="14.1" customHeight="1">
      <c r="A93" s="121">
        <v>7</v>
      </c>
      <c r="B93" s="427" t="str">
        <f t="shared" ca="1" si="2"/>
        <v/>
      </c>
      <c r="C93" s="122" t="str">
        <f t="shared" ca="1" si="2"/>
        <v/>
      </c>
      <c r="D93" s="123" t="str">
        <f t="shared" ca="1" si="2"/>
        <v/>
      </c>
      <c r="E93" s="124" t="str">
        <f t="shared" ca="1" si="2"/>
        <v/>
      </c>
      <c r="F93" s="101"/>
      <c r="G93" s="125"/>
      <c r="H93" s="126" t="str">
        <f t="shared" ca="1" si="3"/>
        <v/>
      </c>
      <c r="I93" s="127" t="str">
        <f t="shared" ca="1" si="3"/>
        <v/>
      </c>
      <c r="J93" s="127" t="str">
        <f t="shared" ca="1" si="3"/>
        <v/>
      </c>
      <c r="K93" s="128" t="str">
        <f t="shared" ca="1" si="3"/>
        <v/>
      </c>
      <c r="L93" s="112"/>
    </row>
    <row r="94" spans="1:12" s="8" customFormat="1" ht="14.1" customHeight="1">
      <c r="A94" s="121">
        <v>8</v>
      </c>
      <c r="B94" s="427" t="str">
        <f t="shared" ca="1" si="2"/>
        <v/>
      </c>
      <c r="C94" s="122" t="str">
        <f t="shared" ca="1" si="2"/>
        <v/>
      </c>
      <c r="D94" s="123" t="str">
        <f t="shared" ca="1" si="2"/>
        <v/>
      </c>
      <c r="E94" s="124" t="str">
        <f t="shared" ca="1" si="2"/>
        <v/>
      </c>
      <c r="F94" s="101"/>
      <c r="G94" s="125"/>
      <c r="H94" s="126" t="str">
        <f t="shared" ca="1" si="3"/>
        <v/>
      </c>
      <c r="I94" s="127" t="str">
        <f t="shared" ca="1" si="3"/>
        <v/>
      </c>
      <c r="J94" s="127" t="str">
        <f t="shared" ca="1" si="3"/>
        <v/>
      </c>
      <c r="K94" s="128" t="str">
        <f t="shared" ca="1" si="3"/>
        <v/>
      </c>
      <c r="L94" s="112"/>
    </row>
    <row r="95" spans="1:12" s="8" customFormat="1" ht="14.1" customHeight="1">
      <c r="A95" s="121">
        <v>9</v>
      </c>
      <c r="B95" s="427" t="str">
        <f t="shared" ca="1" si="2"/>
        <v/>
      </c>
      <c r="C95" s="122" t="str">
        <f t="shared" ca="1" si="2"/>
        <v/>
      </c>
      <c r="D95" s="123" t="str">
        <f t="shared" ca="1" si="2"/>
        <v/>
      </c>
      <c r="E95" s="124" t="str">
        <f t="shared" ca="1" si="2"/>
        <v/>
      </c>
      <c r="F95" s="101"/>
      <c r="G95" s="125"/>
      <c r="H95" s="126" t="str">
        <f t="shared" ca="1" si="3"/>
        <v/>
      </c>
      <c r="I95" s="127" t="str">
        <f t="shared" ca="1" si="3"/>
        <v/>
      </c>
      <c r="J95" s="127" t="str">
        <f t="shared" ca="1" si="3"/>
        <v/>
      </c>
      <c r="K95" s="128" t="str">
        <f t="shared" ca="1" si="3"/>
        <v/>
      </c>
      <c r="L95" s="112"/>
    </row>
    <row r="96" spans="1:12" s="8" customFormat="1" ht="14.1" customHeight="1">
      <c r="A96" s="121">
        <v>10</v>
      </c>
      <c r="B96" s="427" t="str">
        <f t="shared" ca="1" si="2"/>
        <v/>
      </c>
      <c r="C96" s="122" t="str">
        <f t="shared" ca="1" si="2"/>
        <v/>
      </c>
      <c r="D96" s="123" t="str">
        <f t="shared" ca="1" si="2"/>
        <v/>
      </c>
      <c r="E96" s="124" t="str">
        <f t="shared" ca="1" si="2"/>
        <v/>
      </c>
      <c r="F96" s="101"/>
      <c r="G96" s="125"/>
      <c r="H96" s="126" t="str">
        <f t="shared" ca="1" si="3"/>
        <v/>
      </c>
      <c r="I96" s="127" t="str">
        <f t="shared" ca="1" si="3"/>
        <v/>
      </c>
      <c r="J96" s="127" t="str">
        <f t="shared" ca="1" si="3"/>
        <v/>
      </c>
      <c r="K96" s="128" t="str">
        <f t="shared" ca="1" si="3"/>
        <v/>
      </c>
      <c r="L96" s="112"/>
    </row>
    <row r="97" spans="1:12" s="8" customFormat="1" ht="14.1" customHeight="1">
      <c r="A97" s="121">
        <v>11</v>
      </c>
      <c r="B97" s="427" t="str">
        <f t="shared" ca="1" si="2"/>
        <v/>
      </c>
      <c r="C97" s="122" t="str">
        <f t="shared" ca="1" si="2"/>
        <v/>
      </c>
      <c r="D97" s="123" t="str">
        <f t="shared" ca="1" si="2"/>
        <v/>
      </c>
      <c r="E97" s="124" t="str">
        <f t="shared" ca="1" si="2"/>
        <v/>
      </c>
      <c r="F97" s="101"/>
      <c r="G97" s="125"/>
      <c r="H97" s="126" t="str">
        <f t="shared" ca="1" si="3"/>
        <v/>
      </c>
      <c r="I97" s="127" t="str">
        <f t="shared" ca="1" si="3"/>
        <v/>
      </c>
      <c r="J97" s="127" t="str">
        <f t="shared" ca="1" si="3"/>
        <v/>
      </c>
      <c r="K97" s="128" t="str">
        <f t="shared" ca="1" si="3"/>
        <v/>
      </c>
      <c r="L97" s="112"/>
    </row>
    <row r="98" spans="1:12" s="8" customFormat="1" ht="14.1" customHeight="1">
      <c r="A98" s="121">
        <v>12</v>
      </c>
      <c r="B98" s="427" t="str">
        <f t="shared" ca="1" si="2"/>
        <v/>
      </c>
      <c r="C98" s="122" t="str">
        <f t="shared" ca="1" si="2"/>
        <v/>
      </c>
      <c r="D98" s="123" t="str">
        <f t="shared" ca="1" si="2"/>
        <v/>
      </c>
      <c r="E98" s="124" t="str">
        <f t="shared" ca="1" si="2"/>
        <v/>
      </c>
      <c r="F98" s="101"/>
      <c r="G98" s="125"/>
      <c r="H98" s="126" t="str">
        <f t="shared" ca="1" si="3"/>
        <v/>
      </c>
      <c r="I98" s="127" t="str">
        <f t="shared" ca="1" si="3"/>
        <v/>
      </c>
      <c r="J98" s="127" t="str">
        <f t="shared" ca="1" si="3"/>
        <v/>
      </c>
      <c r="K98" s="128" t="str">
        <f t="shared" ca="1" si="3"/>
        <v/>
      </c>
      <c r="L98" s="112"/>
    </row>
    <row r="99" spans="1:12" s="8" customFormat="1" ht="14.1" customHeight="1">
      <c r="A99" s="121">
        <v>13</v>
      </c>
      <c r="B99" s="427" t="str">
        <f t="shared" ca="1" si="2"/>
        <v/>
      </c>
      <c r="C99" s="122" t="str">
        <f t="shared" ca="1" si="2"/>
        <v/>
      </c>
      <c r="D99" s="123" t="str">
        <f t="shared" ca="1" si="2"/>
        <v/>
      </c>
      <c r="E99" s="124" t="str">
        <f t="shared" ca="1" si="2"/>
        <v/>
      </c>
      <c r="F99" s="101"/>
      <c r="G99" s="125"/>
      <c r="H99" s="126" t="str">
        <f t="shared" ca="1" si="3"/>
        <v/>
      </c>
      <c r="I99" s="127" t="str">
        <f t="shared" ca="1" si="3"/>
        <v/>
      </c>
      <c r="J99" s="127" t="str">
        <f t="shared" ca="1" si="3"/>
        <v/>
      </c>
      <c r="K99" s="128" t="str">
        <f t="shared" ca="1" si="3"/>
        <v/>
      </c>
      <c r="L99" s="112"/>
    </row>
    <row r="100" spans="1:12" s="8" customFormat="1" ht="14.1" customHeight="1">
      <c r="A100" s="121">
        <v>14</v>
      </c>
      <c r="B100" s="427" t="str">
        <f t="shared" ca="1" si="2"/>
        <v/>
      </c>
      <c r="C100" s="122" t="str">
        <f t="shared" ca="1" si="2"/>
        <v/>
      </c>
      <c r="D100" s="123" t="str">
        <f t="shared" ca="1" si="2"/>
        <v/>
      </c>
      <c r="E100" s="124" t="str">
        <f t="shared" ca="1" si="2"/>
        <v/>
      </c>
      <c r="F100" s="101"/>
      <c r="G100" s="125"/>
      <c r="H100" s="126" t="str">
        <f t="shared" ca="1" si="3"/>
        <v/>
      </c>
      <c r="I100" s="127" t="str">
        <f t="shared" ca="1" si="3"/>
        <v/>
      </c>
      <c r="J100" s="127" t="str">
        <f t="shared" ca="1" si="3"/>
        <v/>
      </c>
      <c r="K100" s="128" t="str">
        <f t="shared" ca="1" si="3"/>
        <v/>
      </c>
      <c r="L100" s="112"/>
    </row>
    <row r="101" spans="1:12" s="8" customFormat="1" ht="14.1" customHeight="1">
      <c r="A101" s="121">
        <v>15</v>
      </c>
      <c r="B101" s="427" t="str">
        <f t="shared" ca="1" si="2"/>
        <v/>
      </c>
      <c r="C101" s="122" t="str">
        <f t="shared" ca="1" si="2"/>
        <v/>
      </c>
      <c r="D101" s="123" t="str">
        <f t="shared" ca="1" si="2"/>
        <v/>
      </c>
      <c r="E101" s="124" t="str">
        <f t="shared" ca="1" si="2"/>
        <v/>
      </c>
      <c r="F101" s="101"/>
      <c r="G101" s="125"/>
      <c r="H101" s="126" t="str">
        <f t="shared" ca="1" si="3"/>
        <v/>
      </c>
      <c r="I101" s="127" t="str">
        <f t="shared" ca="1" si="3"/>
        <v/>
      </c>
      <c r="J101" s="127" t="str">
        <f t="shared" ca="1" si="3"/>
        <v/>
      </c>
      <c r="K101" s="128" t="str">
        <f t="shared" ca="1" si="3"/>
        <v/>
      </c>
      <c r="L101" s="112"/>
    </row>
    <row r="102" spans="1:12" s="8" customFormat="1" ht="14.1" customHeight="1">
      <c r="A102" s="121">
        <v>16</v>
      </c>
      <c r="B102" s="427" t="str">
        <f t="shared" ca="1" si="2"/>
        <v/>
      </c>
      <c r="C102" s="122" t="str">
        <f t="shared" ca="1" si="2"/>
        <v/>
      </c>
      <c r="D102" s="123" t="str">
        <f t="shared" ca="1" si="2"/>
        <v/>
      </c>
      <c r="E102" s="124" t="str">
        <f t="shared" ca="1" si="2"/>
        <v/>
      </c>
      <c r="F102" s="101"/>
      <c r="G102" s="125"/>
      <c r="H102" s="126" t="str">
        <f t="shared" ca="1" si="3"/>
        <v/>
      </c>
      <c r="I102" s="127" t="str">
        <f t="shared" ca="1" si="3"/>
        <v/>
      </c>
      <c r="J102" s="127" t="str">
        <f t="shared" ca="1" si="3"/>
        <v/>
      </c>
      <c r="K102" s="128" t="str">
        <f t="shared" ca="1" si="3"/>
        <v/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505"/>
      <c r="K104" s="505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506">
        <f ca="1">J67</f>
        <v>1514160</v>
      </c>
      <c r="K105" s="507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510"/>
      <c r="K106" s="510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>
        <f ca="1">K69</f>
        <v>0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505"/>
      <c r="K108" s="505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506">
        <f ca="1">J71</f>
        <v>150051.89189189186</v>
      </c>
      <c r="K109" s="507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505"/>
      <c r="K110" s="505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>
        <f ca="1">K73</f>
        <v>1514160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508" t="str">
        <f ca="1">J75</f>
        <v>NOVI / CONDRO</v>
      </c>
      <c r="K113" s="509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508" t="str">
        <f ca="1">J76</f>
        <v/>
      </c>
      <c r="K114" s="509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44"/>
  <sheetViews>
    <sheetView topLeftCell="A16" workbookViewId="0">
      <selection activeCell="B27" sqref="B27"/>
    </sheetView>
  </sheetViews>
  <sheetFormatPr defaultRowHeight="1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33" bestFit="1" customWidth="1"/>
  </cols>
  <sheetData>
    <row r="1" spans="1:6">
      <c r="A1" t="s">
        <v>32</v>
      </c>
    </row>
    <row r="2" spans="1:6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>
      <c r="A3" t="s">
        <v>80</v>
      </c>
      <c r="B3" t="s">
        <v>57</v>
      </c>
      <c r="C3" t="s">
        <v>56</v>
      </c>
      <c r="D3" t="s">
        <v>19</v>
      </c>
      <c r="E3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>
      <c r="A4" t="s">
        <v>83</v>
      </c>
      <c r="B4" t="s">
        <v>84</v>
      </c>
      <c r="C4" t="s">
        <v>85</v>
      </c>
      <c r="D4" t="s">
        <v>19</v>
      </c>
      <c r="E4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>
      <c r="A5" t="s">
        <v>102</v>
      </c>
      <c r="B5" t="s">
        <v>103</v>
      </c>
      <c r="D5" t="s">
        <v>104</v>
      </c>
      <c r="E5" t="str">
        <f>CONCATENATE(Table2[[#This Row],[b]],IF(Table2[[#This Row],[c]]=""," ",CONCATENATE(" ",Table2[[#This Row],[c]]," ")),Table2[[#This Row],[d]])</f>
        <v>CV PULAU ATEKA NUSANTARA SURABAYA</v>
      </c>
    </row>
    <row r="6" spans="1:6">
      <c r="A6" t="s">
        <v>66</v>
      </c>
      <c r="B6" t="s">
        <v>67</v>
      </c>
      <c r="C6" t="s">
        <v>68</v>
      </c>
      <c r="D6" t="s">
        <v>69</v>
      </c>
      <c r="E6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>
      <c r="A9" t="s">
        <v>82</v>
      </c>
      <c r="B9" t="s">
        <v>74</v>
      </c>
      <c r="D9" t="s">
        <v>75</v>
      </c>
      <c r="E9" t="str">
        <f>CONCATENATE(Table2[[#This Row],[b]],IF(Table2[[#This Row],[c]]=""," ",CONCATENATE(" ",Table2[[#This Row],[c]]," ")),Table2[[#This Row],[d]])</f>
        <v>CV SUPER FANCY NUSANTARA KARANGJATI</v>
      </c>
    </row>
    <row r="10" spans="1:6">
      <c r="A10" t="s">
        <v>76</v>
      </c>
      <c r="B10" t="s">
        <v>77</v>
      </c>
      <c r="D10" t="s">
        <v>78</v>
      </c>
      <c r="E10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>
      <c r="A11" t="s">
        <v>132</v>
      </c>
      <c r="B11" t="s">
        <v>133</v>
      </c>
      <c r="C11" t="s">
        <v>134</v>
      </c>
      <c r="D11" t="s">
        <v>60</v>
      </c>
      <c r="E11" t="str">
        <f>CONCATENATE(Table2[[#This Row],[b]],IF(Table2[[#This Row],[c]]=""," ",CONCATENATE(" ",Table2[[#This Row],[c]]," ")),Table2[[#This Row],[d]])</f>
        <v>ROBIN SUSANTO (HIDUP BARU) JOMBANG</v>
      </c>
      <c r="F11" t="s">
        <v>140</v>
      </c>
    </row>
    <row r="12" spans="1:6">
      <c r="A12" t="s">
        <v>90</v>
      </c>
      <c r="B12" t="s">
        <v>108</v>
      </c>
      <c r="D12" t="s">
        <v>91</v>
      </c>
      <c r="E12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>
      <c r="A13" t="s">
        <v>109</v>
      </c>
      <c r="B13" t="s">
        <v>110</v>
      </c>
      <c r="C13" t="s">
        <v>111</v>
      </c>
      <c r="D13" t="s">
        <v>63</v>
      </c>
      <c r="E13" t="str">
        <f>CONCATENATE(Table2[[#This Row],[b]],IF(Table2[[#This Row],[c]]=""," ",CONCATENATE(" ",Table2[[#This Row],[c]]," ")),Table2[[#This Row],[d]])</f>
        <v>GUNAWAN HARTONO KUSUMA ( NIKI SAE ) TULUNG AGUNG</v>
      </c>
      <c r="F13" t="s">
        <v>140</v>
      </c>
    </row>
    <row r="14" spans="1:6">
      <c r="A14" t="s">
        <v>71</v>
      </c>
      <c r="B14" t="s">
        <v>72</v>
      </c>
      <c r="D14" t="s">
        <v>73</v>
      </c>
      <c r="E14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>
      <c r="A15" t="s">
        <v>107</v>
      </c>
      <c r="B15" t="s">
        <v>105</v>
      </c>
      <c r="C15" t="s">
        <v>106</v>
      </c>
      <c r="D15" t="s">
        <v>69</v>
      </c>
      <c r="E1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>
      <c r="A16" t="s">
        <v>176</v>
      </c>
      <c r="B16" t="s">
        <v>64</v>
      </c>
      <c r="C16" t="s">
        <v>175</v>
      </c>
      <c r="D16" t="s">
        <v>65</v>
      </c>
      <c r="E16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>
      <c r="A17" t="s">
        <v>89</v>
      </c>
      <c r="B17" t="s">
        <v>61</v>
      </c>
      <c r="C17" t="s">
        <v>59</v>
      </c>
      <c r="D17" t="s">
        <v>60</v>
      </c>
      <c r="E17" t="str">
        <f>CONCATENATE(Table2[[#This Row],[b]],IF(Table2[[#This Row],[c]]=""," ",CONCATENATE(" ",Table2[[#This Row],[c]]," ")),Table2[[#This Row],[d]])</f>
        <v>LILY JULIAWATI (REJO AGUNG) JOMBANG</v>
      </c>
      <c r="F17" t="s">
        <v>140</v>
      </c>
    </row>
    <row r="18" spans="1:6">
      <c r="A18" t="s">
        <v>97</v>
      </c>
      <c r="B18" t="s">
        <v>120</v>
      </c>
      <c r="D18" t="s">
        <v>98</v>
      </c>
      <c r="E18" t="str">
        <f>CONCATENATE(Table2[[#This Row],[b]],IF(Table2[[#This Row],[c]]=""," ",CONCATENATE(" ",Table2[[#This Row],[c]]," ")),Table2[[#This Row],[d]])</f>
        <v>CV FM 90 KEBUMEN</v>
      </c>
      <c r="F18" t="s">
        <v>141</v>
      </c>
    </row>
    <row r="19" spans="1:6">
      <c r="A19" t="s">
        <v>121</v>
      </c>
      <c r="B19" t="s">
        <v>122</v>
      </c>
      <c r="C19" t="s">
        <v>124</v>
      </c>
      <c r="D19" t="s">
        <v>123</v>
      </c>
      <c r="E19" t="str">
        <f>CONCATENATE(Table2[[#This Row],[b]],IF(Table2[[#This Row],[c]]=""," ",CONCATENATE(" ",Table2[[#This Row],[c]]," ")),Table2[[#This Row],[d]])</f>
        <v>MONG SANTOSA ANDRESTA ( SIDU ) SALATIGA</v>
      </c>
    </row>
    <row r="20" spans="1:6">
      <c r="A20" t="s">
        <v>58</v>
      </c>
      <c r="B20" t="s">
        <v>113</v>
      </c>
      <c r="C20" t="s">
        <v>112</v>
      </c>
      <c r="D20" t="s">
        <v>29</v>
      </c>
      <c r="E20" t="str">
        <f>CONCATENATE(Table2[[#This Row],[b]],IF(Table2[[#This Row],[c]]=""," ",CONCATENATE(" ",Table2[[#This Row],[c]]," ")),Table2[[#This Row],[d]])</f>
        <v>MUHAMMAD AGUS MUNADI ( SINAR BHAKTI ) YOGYAKARTA</v>
      </c>
      <c r="F20" t="s">
        <v>140</v>
      </c>
    </row>
    <row r="21" spans="1:6">
      <c r="A21" t="s">
        <v>92</v>
      </c>
      <c r="B21" t="s">
        <v>94</v>
      </c>
      <c r="D21" t="s">
        <v>93</v>
      </c>
      <c r="E21" t="str">
        <f>CONCATENATE(Table2[[#This Row],[b]],IF(Table2[[#This Row],[c]]=""," ",CONCATENATE(" ",Table2[[#This Row],[c]]," ")),Table2[[#This Row],[d]])</f>
        <v>CV TIARA SOLO</v>
      </c>
      <c r="F21" t="s">
        <v>141</v>
      </c>
    </row>
    <row r="22" spans="1:6">
      <c r="A22" t="s">
        <v>88</v>
      </c>
      <c r="B22" t="s">
        <v>62</v>
      </c>
      <c r="D22" t="s">
        <v>63</v>
      </c>
      <c r="E22" t="str">
        <f>CONCATENATE(Table2[[#This Row],[b]],IF(Table2[[#This Row],[c]]=""," ",CONCATENATE(" ",Table2[[#This Row],[c]]," ")),Table2[[#This Row],[d]])</f>
        <v>CV UTAMA PUTRA TULUNG AGUNG</v>
      </c>
      <c r="F22" t="s">
        <v>140</v>
      </c>
    </row>
    <row r="23" spans="1:6">
      <c r="A23" t="s">
        <v>87</v>
      </c>
      <c r="B23" t="s">
        <v>86</v>
      </c>
      <c r="D23" t="s">
        <v>19</v>
      </c>
      <c r="E23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>
      <c r="A24" t="s">
        <v>142</v>
      </c>
      <c r="B24" t="s">
        <v>143</v>
      </c>
      <c r="D24" t="s">
        <v>91</v>
      </c>
      <c r="E24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>
      <c r="A25" t="s">
        <v>144</v>
      </c>
      <c r="B25" t="s">
        <v>145</v>
      </c>
      <c r="C25" t="s">
        <v>146</v>
      </c>
      <c r="D25" t="s">
        <v>150</v>
      </c>
      <c r="E25" t="str">
        <f>CONCATENATE(Table2[[#This Row],[b]],IF(Table2[[#This Row],[c]]=""," ",CONCATENATE(" ",Table2[[#This Row],[c]]," ")),Table2[[#This Row],[d]])</f>
        <v>CV MULIA JAYA ( RAHAYU ) MRANGGEN</v>
      </c>
      <c r="F25" t="s">
        <v>141</v>
      </c>
    </row>
    <row r="26" spans="1:6">
      <c r="A26" t="s">
        <v>147</v>
      </c>
      <c r="B26" t="s">
        <v>148</v>
      </c>
      <c r="C26" t="s">
        <v>149</v>
      </c>
      <c r="D26" t="s">
        <v>151</v>
      </c>
      <c r="E26" t="str">
        <f>CONCATENATE(Table2[[#This Row],[b]],IF(Table2[[#This Row],[c]]=""," ",CONCATENATE(" ",Table2[[#This Row],[c]]," ")),Table2[[#This Row],[d]])</f>
        <v>PT.HASTA KENCANA SAKTI ( TRIO PLAZA ) MAGELANG</v>
      </c>
      <c r="F26" t="s">
        <v>140</v>
      </c>
    </row>
    <row r="27" spans="1:6">
      <c r="A27" t="s">
        <v>167</v>
      </c>
      <c r="B27" t="s">
        <v>174</v>
      </c>
      <c r="C27" t="s">
        <v>168</v>
      </c>
      <c r="D27" t="s">
        <v>169</v>
      </c>
      <c r="E27" t="str">
        <f>CONCATENATE(Table2[[#This Row],[b]],IF(Table2[[#This Row],[c]]=""," ",CONCATENATE(" ",Table2[[#This Row],[c]]," ")),Table2[[#This Row],[d]])</f>
        <v>CV.BENGAWAN MULTI TRENDING (LUWES) PATI</v>
      </c>
      <c r="F27" t="s">
        <v>141</v>
      </c>
    </row>
    <row r="28" spans="1:6">
      <c r="A28" t="s">
        <v>173</v>
      </c>
      <c r="B28" t="s">
        <v>170</v>
      </c>
      <c r="C28" t="s">
        <v>171</v>
      </c>
      <c r="D28" t="s">
        <v>172</v>
      </c>
      <c r="E28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141</v>
      </c>
    </row>
    <row r="29" spans="1:6">
      <c r="A29" t="s">
        <v>178</v>
      </c>
      <c r="B29" t="s">
        <v>179</v>
      </c>
      <c r="C29" t="s">
        <v>180</v>
      </c>
      <c r="D29" t="s">
        <v>181</v>
      </c>
      <c r="E29" t="str">
        <f>CONCATENATE(Table2[[#This Row],[b]],IF(Table2[[#This Row],[c]]=""," ",CONCATENATE(" ",Table2[[#This Row],[c]]," ")),Table2[[#This Row],[d]])</f>
        <v>CV GITA CAHYA ( DHIAN ) BANJARNEGARA</v>
      </c>
      <c r="F29" t="s">
        <v>141</v>
      </c>
    </row>
    <row r="30" spans="1:6">
      <c r="A30">
        <v>0</v>
      </c>
      <c r="B30">
        <v>0</v>
      </c>
      <c r="C30">
        <v>0</v>
      </c>
      <c r="D30">
        <v>0</v>
      </c>
      <c r="E30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>
      <c r="A31" t="s">
        <v>99</v>
      </c>
      <c r="B31" t="s">
        <v>99</v>
      </c>
      <c r="C31" t="s">
        <v>99</v>
      </c>
      <c r="D31" t="s">
        <v>99</v>
      </c>
      <c r="E31" t="str">
        <f>CONCATENATE(Table2[[#This Row],[b]],IF(Table2[[#This Row],[c]]=""," ",CONCATENATE(" ",Table2[[#This Row],[c]]," ")),Table2[[#This Row],[d]])</f>
        <v>` ` `</v>
      </c>
      <c r="F31" t="s">
        <v>99</v>
      </c>
    </row>
    <row r="32" spans="1:6">
      <c r="E32" t="str">
        <f>CONCATENATE(Table2[[#This Row],[b]],IF(Table2[[#This Row],[c]]=""," ",CONCATENATE(" ",Table2[[#This Row],[c]]," ")),Table2[[#This Row],[d]])</f>
        <v xml:space="preserve"> </v>
      </c>
    </row>
    <row r="33" spans="1:5">
      <c r="A33" t="s">
        <v>154</v>
      </c>
      <c r="B33">
        <v>1</v>
      </c>
      <c r="C33" t="s">
        <v>156</v>
      </c>
      <c r="E33" t="e">
        <f>CONCATENATE(Table2[[#This Row],[b]],IF(Table2[[#This Row],[c]]=""," ",CONCATENATE(" ",Table2[[#This Row],[c]]," ")),Table2[[#This Row],[d]])</f>
        <v>#VALUE!</v>
      </c>
    </row>
    <row r="34" spans="1:5">
      <c r="A34" t="s">
        <v>154</v>
      </c>
      <c r="B34">
        <v>1</v>
      </c>
      <c r="C34" t="s">
        <v>162</v>
      </c>
      <c r="E34" t="e">
        <f>CONCATENATE(Table2[[#This Row],[b]],IF(Table2[[#This Row],[c]]=""," ",CONCATENATE(" ",Table2[[#This Row],[c]]," ")),Table2[[#This Row],[d]])</f>
        <v>#VALUE!</v>
      </c>
    </row>
    <row r="35" spans="1:5">
      <c r="A35" t="s">
        <v>152</v>
      </c>
      <c r="B35">
        <v>2</v>
      </c>
      <c r="C35" t="s">
        <v>156</v>
      </c>
    </row>
    <row r="36" spans="1:5">
      <c r="A36" t="s">
        <v>153</v>
      </c>
      <c r="B36">
        <v>2</v>
      </c>
      <c r="C36" t="s">
        <v>156</v>
      </c>
    </row>
    <row r="37" spans="1:5">
      <c r="A37" t="s">
        <v>155</v>
      </c>
      <c r="B37">
        <v>1</v>
      </c>
      <c r="C37" t="s">
        <v>156</v>
      </c>
    </row>
    <row r="38" spans="1:5">
      <c r="A38" t="s">
        <v>157</v>
      </c>
    </row>
    <row r="39" spans="1:5">
      <c r="A39" t="s">
        <v>158</v>
      </c>
      <c r="B39" t="s">
        <v>159</v>
      </c>
      <c r="C39" t="s">
        <v>160</v>
      </c>
    </row>
    <row r="40" spans="1:5">
      <c r="A40" t="s">
        <v>161</v>
      </c>
    </row>
    <row r="41" spans="1:5">
      <c r="A41" t="s">
        <v>163</v>
      </c>
      <c r="B41">
        <v>1</v>
      </c>
      <c r="C41" t="s">
        <v>162</v>
      </c>
    </row>
    <row r="42" spans="1:5">
      <c r="A42" t="s">
        <v>164</v>
      </c>
      <c r="B42">
        <v>1</v>
      </c>
    </row>
    <row r="43" spans="1:5">
      <c r="A43" t="s">
        <v>165</v>
      </c>
      <c r="B43">
        <v>1</v>
      </c>
    </row>
    <row r="44" spans="1:5">
      <c r="A44" t="s">
        <v>166</v>
      </c>
      <c r="B4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114"/>
  <sheetViews>
    <sheetView workbookViewId="0">
      <selection activeCell="F22" sqref="F22"/>
    </sheetView>
  </sheetViews>
  <sheetFormatPr defaultRowHeight="1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t="7.5" customHeight="1">
      <c r="A1" s="2"/>
      <c r="D1" s="3"/>
      <c r="I1" s="4"/>
      <c r="J1" s="4"/>
    </row>
    <row r="2" spans="1:12" s="8" customFormat="1" ht="16.5" customHeight="1">
      <c r="A2" s="5"/>
      <c r="B2" s="1" t="s">
        <v>1</v>
      </c>
      <c r="C2" s="6"/>
      <c r="D2" s="258" t="s">
        <v>15</v>
      </c>
      <c r="E2" s="7">
        <v>23110001</v>
      </c>
      <c r="G2" s="9" t="s">
        <v>16</v>
      </c>
      <c r="H2" s="460" t="s">
        <v>17</v>
      </c>
      <c r="I2" s="460"/>
      <c r="J2" s="460"/>
      <c r="K2" s="461"/>
      <c r="L2" s="10"/>
    </row>
    <row r="3" spans="1:12" s="8" customFormat="1" ht="7.5" customHeight="1">
      <c r="A3" s="5"/>
      <c r="B3" s="11"/>
      <c r="C3" s="12"/>
      <c r="D3" s="13"/>
      <c r="E3" s="14"/>
      <c r="F3" s="531" t="s">
        <v>18</v>
      </c>
      <c r="G3" s="15"/>
      <c r="H3" s="462"/>
      <c r="I3" s="462"/>
      <c r="J3" s="462"/>
      <c r="K3" s="463"/>
      <c r="L3" s="10"/>
    </row>
    <row r="4" spans="1:12" s="8" customFormat="1" ht="16.5" customHeight="1">
      <c r="A4" s="5"/>
      <c r="B4" s="1" t="s">
        <v>2</v>
      </c>
      <c r="C4" s="6"/>
      <c r="D4" s="465">
        <v>45232</v>
      </c>
      <c r="E4" s="466"/>
      <c r="F4" s="531"/>
      <c r="G4" s="16"/>
      <c r="H4" s="467" t="s">
        <v>136</v>
      </c>
      <c r="I4" s="467"/>
      <c r="J4" s="467"/>
      <c r="K4" s="468"/>
      <c r="L4" s="16"/>
    </row>
    <row r="5" spans="1:12" s="8" customFormat="1" ht="7.5" customHeight="1">
      <c r="A5" s="5"/>
      <c r="B5" s="11"/>
      <c r="C5" s="12"/>
      <c r="D5" s="13"/>
      <c r="E5" s="14"/>
      <c r="F5" s="531"/>
      <c r="G5" s="16"/>
      <c r="H5" s="469" t="s">
        <v>19</v>
      </c>
      <c r="I5" s="469"/>
      <c r="J5" s="469"/>
      <c r="K5" s="470"/>
      <c r="L5" s="17"/>
    </row>
    <row r="6" spans="1:12" s="8" customFormat="1" ht="16.5" customHeight="1">
      <c r="A6" s="5"/>
      <c r="B6" s="1" t="s">
        <v>3</v>
      </c>
      <c r="C6" s="6"/>
      <c r="D6" s="18" t="s">
        <v>137</v>
      </c>
      <c r="E6" s="7"/>
      <c r="F6" s="19"/>
      <c r="G6" s="20"/>
      <c r="H6" s="471"/>
      <c r="I6" s="471"/>
      <c r="J6" s="471"/>
      <c r="K6" s="472"/>
      <c r="L6" s="17"/>
    </row>
    <row r="7" spans="1:12" s="8" customFormat="1" ht="7.5" customHeight="1">
      <c r="A7" s="5"/>
      <c r="B7" s="21"/>
      <c r="C7" s="22"/>
      <c r="D7" s="23"/>
      <c r="F7" s="24"/>
      <c r="I7" s="25"/>
      <c r="J7" s="25"/>
    </row>
    <row r="8" spans="1:12" s="8" customFormat="1" ht="14.25" thickBot="1">
      <c r="A8" s="5"/>
      <c r="B8" s="26" t="s">
        <v>5</v>
      </c>
      <c r="C8" s="26" t="s">
        <v>6</v>
      </c>
      <c r="D8" s="27" t="s">
        <v>7</v>
      </c>
      <c r="E8" s="28"/>
      <c r="F8" s="29" t="s">
        <v>8</v>
      </c>
      <c r="G8" s="30"/>
      <c r="H8" s="26" t="s">
        <v>9</v>
      </c>
      <c r="I8" s="31" t="s">
        <v>10</v>
      </c>
      <c r="J8" s="31" t="s">
        <v>11</v>
      </c>
      <c r="K8" s="32" t="s">
        <v>20</v>
      </c>
      <c r="L8" s="33"/>
    </row>
    <row r="9" spans="1:12" s="8" customFormat="1" ht="9.9499999999999993" customHeight="1" thickTop="1">
      <c r="A9" s="5"/>
      <c r="B9" s="34"/>
      <c r="C9" s="35"/>
      <c r="D9" s="36"/>
      <c r="E9" s="37"/>
      <c r="F9" s="38"/>
      <c r="G9" s="39"/>
      <c r="H9" s="34"/>
      <c r="I9" s="40"/>
      <c r="J9" s="40"/>
      <c r="K9" s="41"/>
      <c r="L9" s="33"/>
    </row>
    <row r="10" spans="1:12" s="8" customFormat="1" ht="14.1" customHeight="1">
      <c r="A10" s="42">
        <v>1</v>
      </c>
      <c r="B10" s="43">
        <v>20</v>
      </c>
      <c r="C10" s="43" t="s">
        <v>135</v>
      </c>
      <c r="D10" s="44" t="s">
        <v>136</v>
      </c>
      <c r="E10" s="45" t="s">
        <v>138</v>
      </c>
      <c r="G10" s="46"/>
      <c r="H10" s="47">
        <v>37500</v>
      </c>
      <c r="I10" s="48"/>
      <c r="J10" s="48"/>
      <c r="K10" s="49">
        <f t="shared" ref="K10:K25" si="0">(B10*H10-((B10*H10)*I10))-((B10*H10-((B10*H10)*I10))*J10)</f>
        <v>750000</v>
      </c>
      <c r="L10" s="33"/>
    </row>
    <row r="11" spans="1:12" s="8" customFormat="1" ht="14.1" customHeight="1">
      <c r="A11" s="42">
        <v>2</v>
      </c>
      <c r="B11" s="43"/>
      <c r="C11" s="43"/>
      <c r="D11" s="44"/>
      <c r="E11" s="45"/>
      <c r="G11" s="46"/>
      <c r="H11" s="47"/>
      <c r="I11" s="48"/>
      <c r="J11" s="48"/>
      <c r="K11" s="49">
        <f t="shared" si="0"/>
        <v>0</v>
      </c>
      <c r="L11" s="33"/>
    </row>
    <row r="12" spans="1:12" s="8" customFormat="1" ht="14.1" customHeight="1">
      <c r="A12" s="42">
        <v>3</v>
      </c>
      <c r="B12" s="43"/>
      <c r="C12" s="43"/>
      <c r="D12" s="44"/>
      <c r="E12" s="45"/>
      <c r="G12" s="46"/>
      <c r="H12" s="47"/>
      <c r="I12" s="48"/>
      <c r="J12" s="48"/>
      <c r="K12" s="49">
        <f t="shared" si="0"/>
        <v>0</v>
      </c>
      <c r="L12" s="33"/>
    </row>
    <row r="13" spans="1:12" s="8" customFormat="1" ht="14.1" customHeight="1">
      <c r="A13" s="42">
        <v>4</v>
      </c>
      <c r="B13" s="43"/>
      <c r="C13" s="43"/>
      <c r="D13" s="44"/>
      <c r="E13" s="45"/>
      <c r="G13" s="46"/>
      <c r="H13" s="47"/>
      <c r="I13" s="48"/>
      <c r="J13" s="48"/>
      <c r="K13" s="49">
        <f t="shared" si="0"/>
        <v>0</v>
      </c>
      <c r="L13" s="33"/>
    </row>
    <row r="14" spans="1:12" s="8" customFormat="1" ht="14.1" customHeight="1">
      <c r="A14" s="42">
        <v>5</v>
      </c>
      <c r="B14" s="43"/>
      <c r="C14" s="43"/>
      <c r="D14" s="44"/>
      <c r="E14" s="45"/>
      <c r="G14" s="46"/>
      <c r="H14" s="47"/>
      <c r="I14" s="48"/>
      <c r="J14" s="48"/>
      <c r="K14" s="49">
        <f t="shared" si="0"/>
        <v>0</v>
      </c>
      <c r="L14" s="33"/>
    </row>
    <row r="15" spans="1:12" s="8" customFormat="1" ht="14.1" customHeight="1">
      <c r="A15" s="42">
        <v>6</v>
      </c>
      <c r="B15" s="43"/>
      <c r="C15" s="43"/>
      <c r="D15" s="44"/>
      <c r="E15" s="45"/>
      <c r="G15" s="46"/>
      <c r="H15" s="47"/>
      <c r="I15" s="48"/>
      <c r="J15" s="48"/>
      <c r="K15" s="49">
        <f t="shared" si="0"/>
        <v>0</v>
      </c>
      <c r="L15" s="33"/>
    </row>
    <row r="16" spans="1:12" s="8" customFormat="1" ht="14.1" customHeight="1">
      <c r="A16" s="42">
        <v>7</v>
      </c>
      <c r="B16" s="43"/>
      <c r="C16" s="43"/>
      <c r="D16" s="44"/>
      <c r="E16" s="45"/>
      <c r="G16" s="46"/>
      <c r="H16" s="47"/>
      <c r="I16" s="48"/>
      <c r="J16" s="48"/>
      <c r="K16" s="49">
        <f t="shared" si="0"/>
        <v>0</v>
      </c>
      <c r="L16" s="33"/>
    </row>
    <row r="17" spans="1:12" s="8" customFormat="1" ht="14.1" customHeight="1">
      <c r="A17" s="42">
        <v>8</v>
      </c>
      <c r="B17" s="43"/>
      <c r="C17" s="43"/>
      <c r="D17" s="44"/>
      <c r="E17" s="259"/>
      <c r="G17" s="46"/>
      <c r="H17" s="47"/>
      <c r="I17" s="48"/>
      <c r="J17" s="48"/>
      <c r="K17" s="49">
        <f t="shared" si="0"/>
        <v>0</v>
      </c>
      <c r="L17" s="33"/>
    </row>
    <row r="18" spans="1:12" s="8" customFormat="1" ht="14.1" customHeight="1">
      <c r="A18" s="42">
        <v>9</v>
      </c>
      <c r="B18" s="43"/>
      <c r="C18" s="43"/>
      <c r="D18" s="44"/>
      <c r="E18" s="45"/>
      <c r="G18" s="46"/>
      <c r="H18" s="47"/>
      <c r="I18" s="48"/>
      <c r="J18" s="48"/>
      <c r="K18" s="49">
        <f t="shared" si="0"/>
        <v>0</v>
      </c>
      <c r="L18" s="33"/>
    </row>
    <row r="19" spans="1:12" s="8" customFormat="1" ht="14.1" customHeight="1">
      <c r="A19" s="42">
        <v>10</v>
      </c>
      <c r="B19" s="43"/>
      <c r="C19" s="43"/>
      <c r="D19" s="44"/>
      <c r="E19" s="45"/>
      <c r="G19" s="46"/>
      <c r="H19" s="47"/>
      <c r="I19" s="48"/>
      <c r="J19" s="48"/>
      <c r="K19" s="49">
        <f t="shared" si="0"/>
        <v>0</v>
      </c>
      <c r="L19" s="33"/>
    </row>
    <row r="20" spans="1:12" s="8" customFormat="1" ht="14.1" customHeight="1">
      <c r="A20" s="42">
        <v>11</v>
      </c>
      <c r="B20" s="43"/>
      <c r="C20" s="43"/>
      <c r="D20" s="44"/>
      <c r="E20" s="45"/>
      <c r="G20" s="46"/>
      <c r="H20" s="47"/>
      <c r="I20" s="48"/>
      <c r="J20" s="48"/>
      <c r="K20" s="49">
        <f t="shared" si="0"/>
        <v>0</v>
      </c>
      <c r="L20" s="33"/>
    </row>
    <row r="21" spans="1:12" s="8" customFormat="1" ht="14.1" customHeight="1">
      <c r="A21" s="42">
        <v>12</v>
      </c>
      <c r="B21" s="43"/>
      <c r="C21" s="43"/>
      <c r="D21" s="44"/>
      <c r="E21" s="45"/>
      <c r="G21" s="46"/>
      <c r="H21" s="47"/>
      <c r="I21" s="48"/>
      <c r="J21" s="48"/>
      <c r="K21" s="49">
        <f t="shared" si="0"/>
        <v>0</v>
      </c>
      <c r="L21" s="33"/>
    </row>
    <row r="22" spans="1:12" s="8" customFormat="1" ht="14.1" customHeight="1">
      <c r="A22" s="42">
        <v>13</v>
      </c>
      <c r="B22" s="43"/>
      <c r="C22" s="43"/>
      <c r="D22" s="44"/>
      <c r="E22" s="45"/>
      <c r="G22" s="46"/>
      <c r="H22" s="47"/>
      <c r="I22" s="48"/>
      <c r="J22" s="48"/>
      <c r="K22" s="49">
        <f t="shared" si="0"/>
        <v>0</v>
      </c>
      <c r="L22" s="33"/>
    </row>
    <row r="23" spans="1:12" s="8" customFormat="1" ht="14.1" customHeight="1">
      <c r="A23" s="42">
        <v>14</v>
      </c>
      <c r="B23" s="43"/>
      <c r="C23" s="43"/>
      <c r="D23" s="44"/>
      <c r="E23" s="45"/>
      <c r="G23" s="46"/>
      <c r="H23" s="47"/>
      <c r="I23" s="48"/>
      <c r="J23" s="48"/>
      <c r="K23" s="49">
        <f t="shared" si="0"/>
        <v>0</v>
      </c>
      <c r="L23" s="33"/>
    </row>
    <row r="24" spans="1:12" s="8" customFormat="1" ht="14.1" customHeight="1">
      <c r="A24" s="42">
        <v>15</v>
      </c>
      <c r="B24" s="43"/>
      <c r="C24" s="43"/>
      <c r="D24" s="44"/>
      <c r="E24" s="45"/>
      <c r="G24" s="46"/>
      <c r="H24" s="47"/>
      <c r="I24" s="48"/>
      <c r="J24" s="48"/>
      <c r="K24" s="49">
        <f t="shared" si="0"/>
        <v>0</v>
      </c>
      <c r="L24" s="33"/>
    </row>
    <row r="25" spans="1:12" s="8" customFormat="1" ht="14.1" customHeight="1">
      <c r="A25" s="42">
        <v>16</v>
      </c>
      <c r="B25" s="43"/>
      <c r="C25" s="43"/>
      <c r="D25" s="44"/>
      <c r="E25" s="259"/>
      <c r="G25" s="46"/>
      <c r="H25" s="47"/>
      <c r="I25" s="48"/>
      <c r="J25" s="48"/>
      <c r="K25" s="49">
        <f t="shared" si="0"/>
        <v>0</v>
      </c>
      <c r="L25" s="33"/>
    </row>
    <row r="26" spans="1:12" s="8" customFormat="1" ht="9.9499999999999993" customHeight="1">
      <c r="A26" s="5"/>
      <c r="B26" s="50"/>
      <c r="C26" s="50"/>
      <c r="D26" s="51"/>
      <c r="E26" s="52"/>
      <c r="F26" s="53"/>
      <c r="G26" s="54"/>
      <c r="H26" s="55"/>
      <c r="I26" s="56"/>
      <c r="J26" s="56"/>
      <c r="K26" s="57"/>
      <c r="L26" s="33"/>
    </row>
    <row r="27" spans="1:12" s="8" customFormat="1" ht="5.0999999999999996" customHeight="1">
      <c r="A27" s="5"/>
      <c r="B27" s="58"/>
      <c r="C27" s="58"/>
      <c r="D27" s="23"/>
      <c r="I27" s="59"/>
      <c r="J27" s="515"/>
      <c r="K27" s="516"/>
    </row>
    <row r="28" spans="1:12" s="8" customFormat="1" ht="16.5" customHeight="1">
      <c r="A28" s="5"/>
      <c r="B28" s="58"/>
      <c r="C28" s="58"/>
      <c r="D28" s="23"/>
      <c r="I28" s="60" t="s">
        <v>21</v>
      </c>
      <c r="J28" s="456">
        <f>SUM(K10:K25)</f>
        <v>750000</v>
      </c>
      <c r="K28" s="517"/>
      <c r="L28" s="33"/>
    </row>
    <row r="29" spans="1:12" s="8" customFormat="1" ht="5.0999999999999996" customHeight="1">
      <c r="A29" s="5"/>
      <c r="B29" s="58"/>
      <c r="C29" s="58"/>
      <c r="D29" s="23"/>
      <c r="I29" s="61"/>
      <c r="J29" s="518"/>
      <c r="K29" s="518"/>
    </row>
    <row r="30" spans="1:12" s="8" customFormat="1" ht="16.5" customHeight="1">
      <c r="A30" s="5"/>
      <c r="B30" s="58"/>
      <c r="C30" s="58"/>
      <c r="D30" s="23"/>
      <c r="I30" s="60" t="s">
        <v>22</v>
      </c>
      <c r="J30" s="62"/>
      <c r="K30" s="63">
        <f>J28*J30</f>
        <v>0</v>
      </c>
      <c r="L30" s="16"/>
    </row>
    <row r="31" spans="1:12" s="8" customFormat="1" ht="5.0999999999999996" customHeight="1">
      <c r="A31" s="5"/>
      <c r="B31" s="58"/>
      <c r="C31" s="58"/>
      <c r="D31" s="23"/>
      <c r="I31" s="61"/>
      <c r="J31" s="516"/>
      <c r="K31" s="516"/>
    </row>
    <row r="32" spans="1:12" s="8" customFormat="1" ht="16.5" customHeight="1">
      <c r="A32" s="5"/>
      <c r="B32" s="8" t="s">
        <v>23</v>
      </c>
      <c r="D32" s="23"/>
      <c r="E32" s="23" t="s">
        <v>24</v>
      </c>
      <c r="I32" s="60" t="s">
        <v>25</v>
      </c>
      <c r="J32" s="519">
        <f>((J28/1.11)+(K30/1.11))*11%</f>
        <v>74324.32432432432</v>
      </c>
      <c r="K32" s="520"/>
      <c r="L32" s="64"/>
    </row>
    <row r="33" spans="1:12" s="8" customFormat="1" ht="5.0999999999999996" customHeight="1">
      <c r="A33" s="5"/>
      <c r="B33" s="58"/>
      <c r="C33" s="58"/>
      <c r="D33" s="23"/>
      <c r="I33" s="61"/>
      <c r="J33" s="516"/>
      <c r="K33" s="516"/>
    </row>
    <row r="34" spans="1:12" s="8" customFormat="1" ht="16.5" customHeight="1">
      <c r="A34" s="5"/>
      <c r="B34" s="65"/>
      <c r="C34" s="53"/>
      <c r="D34" s="23"/>
      <c r="E34" s="23"/>
      <c r="I34" s="60" t="s">
        <v>26</v>
      </c>
      <c r="J34" s="66"/>
      <c r="K34" s="67">
        <f>J28-K30</f>
        <v>750000</v>
      </c>
      <c r="L34" s="64"/>
    </row>
    <row r="35" spans="1:12" s="8" customFormat="1" ht="7.5" customHeight="1">
      <c r="A35" s="5"/>
      <c r="D35" s="23"/>
      <c r="E35" s="68"/>
      <c r="F35" s="58"/>
      <c r="I35" s="68"/>
      <c r="J35" s="68"/>
      <c r="K35" s="58"/>
    </row>
    <row r="36" spans="1:12" s="8" customFormat="1" ht="13.5" customHeight="1">
      <c r="A36" s="5"/>
      <c r="B36" s="69" t="s">
        <v>27</v>
      </c>
      <c r="D36" s="23"/>
      <c r="H36" s="70"/>
      <c r="I36" s="260" t="s">
        <v>12</v>
      </c>
      <c r="J36" s="521" t="s">
        <v>129</v>
      </c>
      <c r="K36" s="522"/>
    </row>
    <row r="37" spans="1:12" s="8" customFormat="1" ht="13.5" customHeight="1">
      <c r="A37" s="5"/>
      <c r="B37" s="5"/>
      <c r="H37" s="70"/>
      <c r="I37" s="71" t="s">
        <v>139</v>
      </c>
      <c r="J37" s="521"/>
      <c r="K37" s="522"/>
    </row>
    <row r="38" spans="1:12" s="8" customFormat="1" ht="7.5" customHeight="1">
      <c r="A38" s="5"/>
      <c r="B38" s="5"/>
      <c r="H38" s="70"/>
      <c r="I38" s="71"/>
      <c r="J38" s="72"/>
      <c r="K38" s="72"/>
    </row>
    <row r="39" spans="1:12" ht="7.5" customHeight="1">
      <c r="A39" s="261"/>
      <c r="B39" s="262"/>
      <c r="C39" s="262"/>
      <c r="D39" s="263"/>
      <c r="E39" s="262"/>
      <c r="F39" s="262"/>
      <c r="G39" s="262"/>
      <c r="H39" s="262"/>
      <c r="I39" s="264"/>
      <c r="J39" s="264"/>
      <c r="K39" s="262"/>
      <c r="L39" s="262"/>
    </row>
    <row r="40" spans="1:12" s="8" customFormat="1" ht="16.5" customHeight="1">
      <c r="A40" s="265"/>
      <c r="B40" s="266" t="s">
        <v>1</v>
      </c>
      <c r="C40" s="267"/>
      <c r="D40" s="268" t="str">
        <f>D2</f>
        <v>AM</v>
      </c>
      <c r="E40" s="269">
        <f>E2</f>
        <v>23110001</v>
      </c>
      <c r="F40" s="270"/>
      <c r="G40" s="271" t="s">
        <v>16</v>
      </c>
      <c r="H40" s="533" t="str">
        <f>H2</f>
        <v>CV TRINITY CENTRAAL</v>
      </c>
      <c r="I40" s="533"/>
      <c r="J40" s="533"/>
      <c r="K40" s="534"/>
      <c r="L40" s="272"/>
    </row>
    <row r="41" spans="1:12" s="8" customFormat="1" ht="7.5" customHeight="1">
      <c r="A41" s="265"/>
      <c r="B41" s="273"/>
      <c r="C41" s="274"/>
      <c r="D41" s="275"/>
      <c r="E41" s="276"/>
      <c r="F41" s="537" t="s">
        <v>18</v>
      </c>
      <c r="G41" s="277"/>
      <c r="H41" s="535"/>
      <c r="I41" s="535"/>
      <c r="J41" s="535"/>
      <c r="K41" s="536"/>
      <c r="L41" s="272"/>
    </row>
    <row r="42" spans="1:12" s="8" customFormat="1" ht="16.5" customHeight="1">
      <c r="A42" s="265"/>
      <c r="B42" s="266" t="s">
        <v>2</v>
      </c>
      <c r="C42" s="267"/>
      <c r="D42" s="538">
        <f>D4</f>
        <v>45232</v>
      </c>
      <c r="E42" s="539"/>
      <c r="F42" s="537"/>
      <c r="G42" s="278"/>
      <c r="H42" s="540" t="str">
        <f>H4</f>
        <v/>
      </c>
      <c r="I42" s="540"/>
      <c r="J42" s="540"/>
      <c r="K42" s="541"/>
      <c r="L42" s="278"/>
    </row>
    <row r="43" spans="1:12" s="8" customFormat="1" ht="7.5" customHeight="1">
      <c r="A43" s="265"/>
      <c r="B43" s="273"/>
      <c r="C43" s="274"/>
      <c r="D43" s="275"/>
      <c r="E43" s="276"/>
      <c r="F43" s="537"/>
      <c r="G43" s="278"/>
      <c r="H43" s="542" t="str">
        <f>H5</f>
        <v>PURWOKERTO</v>
      </c>
      <c r="I43" s="542"/>
      <c r="J43" s="542"/>
      <c r="K43" s="543"/>
      <c r="L43" s="279"/>
    </row>
    <row r="44" spans="1:12" s="8" customFormat="1" ht="16.5" customHeight="1">
      <c r="A44" s="265"/>
      <c r="B44" s="266" t="s">
        <v>3</v>
      </c>
      <c r="C44" s="267"/>
      <c r="D44" s="280" t="str">
        <f>D6</f>
        <v>KO 4680</v>
      </c>
      <c r="E44" s="269"/>
      <c r="F44" s="281"/>
      <c r="G44" s="282"/>
      <c r="H44" s="544"/>
      <c r="I44" s="544"/>
      <c r="J44" s="544"/>
      <c r="K44" s="545"/>
      <c r="L44" s="279"/>
    </row>
    <row r="45" spans="1:12" s="8" customFormat="1" ht="7.5" customHeight="1">
      <c r="A45" s="265"/>
      <c r="B45" s="283"/>
      <c r="C45" s="284"/>
      <c r="D45" s="285"/>
      <c r="E45" s="270"/>
      <c r="F45" s="286"/>
      <c r="G45" s="270"/>
      <c r="H45" s="270"/>
      <c r="I45" s="287"/>
      <c r="J45" s="287"/>
      <c r="K45" s="270"/>
      <c r="L45" s="270"/>
    </row>
    <row r="46" spans="1:12" s="8" customFormat="1" ht="14.25" thickBot="1">
      <c r="A46" s="265"/>
      <c r="B46" s="288" t="s">
        <v>5</v>
      </c>
      <c r="C46" s="288" t="s">
        <v>6</v>
      </c>
      <c r="D46" s="289" t="s">
        <v>7</v>
      </c>
      <c r="E46" s="290"/>
      <c r="F46" s="291" t="s">
        <v>8</v>
      </c>
      <c r="G46" s="292"/>
      <c r="H46" s="288" t="s">
        <v>9</v>
      </c>
      <c r="I46" s="293" t="s">
        <v>10</v>
      </c>
      <c r="J46" s="293" t="s">
        <v>11</v>
      </c>
      <c r="K46" s="294" t="s">
        <v>20</v>
      </c>
      <c r="L46" s="295"/>
    </row>
    <row r="47" spans="1:12" s="8" customFormat="1" ht="9.9499999999999993" customHeight="1" thickTop="1">
      <c r="A47" s="265"/>
      <c r="B47" s="296"/>
      <c r="C47" s="297"/>
      <c r="D47" s="298"/>
      <c r="E47" s="299"/>
      <c r="F47" s="300"/>
      <c r="G47" s="301"/>
      <c r="H47" s="296"/>
      <c r="I47" s="302"/>
      <c r="J47" s="302"/>
      <c r="K47" s="303"/>
      <c r="L47" s="295"/>
    </row>
    <row r="48" spans="1:12" s="8" customFormat="1" ht="14.1" customHeight="1">
      <c r="A48" s="304">
        <v>1</v>
      </c>
      <c r="B48" s="305">
        <f t="shared" ref="B48:E63" si="1">B10</f>
        <v>20</v>
      </c>
      <c r="C48" s="306" t="str">
        <f t="shared" si="1"/>
        <v>PAK</v>
      </c>
      <c r="D48" s="307" t="str">
        <f t="shared" si="1"/>
        <v/>
      </c>
      <c r="E48" s="308" t="str">
        <f t="shared" si="1"/>
        <v>KARTU STOCK FOLIO (4 WARNA)</v>
      </c>
      <c r="F48" s="270"/>
      <c r="G48" s="309"/>
      <c r="H48" s="310">
        <f t="shared" ref="H48:J63" si="2">H10</f>
        <v>37500</v>
      </c>
      <c r="I48" s="311">
        <f t="shared" si="2"/>
        <v>0</v>
      </c>
      <c r="J48" s="311">
        <f t="shared" si="2"/>
        <v>0</v>
      </c>
      <c r="K48" s="312">
        <f t="shared" ref="K48:K63" si="3">(B48*H48-((B48*H48)*I48))-((B48*H48-((B48*H48)*I48))*J48)</f>
        <v>750000</v>
      </c>
      <c r="L48" s="295"/>
    </row>
    <row r="49" spans="1:12" s="8" customFormat="1" ht="14.1" customHeight="1">
      <c r="A49" s="304">
        <v>2</v>
      </c>
      <c r="B49" s="305">
        <f t="shared" si="1"/>
        <v>0</v>
      </c>
      <c r="C49" s="306">
        <f t="shared" si="1"/>
        <v>0</v>
      </c>
      <c r="D49" s="307">
        <f t="shared" si="1"/>
        <v>0</v>
      </c>
      <c r="E49" s="308">
        <f t="shared" si="1"/>
        <v>0</v>
      </c>
      <c r="F49" s="270"/>
      <c r="G49" s="309"/>
      <c r="H49" s="310">
        <f t="shared" si="2"/>
        <v>0</v>
      </c>
      <c r="I49" s="311">
        <f t="shared" si="2"/>
        <v>0</v>
      </c>
      <c r="J49" s="311">
        <f t="shared" si="2"/>
        <v>0</v>
      </c>
      <c r="K49" s="312">
        <f t="shared" si="3"/>
        <v>0</v>
      </c>
      <c r="L49" s="295"/>
    </row>
    <row r="50" spans="1:12" s="8" customFormat="1" ht="14.1" customHeight="1">
      <c r="A50" s="304">
        <v>3</v>
      </c>
      <c r="B50" s="305">
        <f t="shared" si="1"/>
        <v>0</v>
      </c>
      <c r="C50" s="306">
        <f t="shared" si="1"/>
        <v>0</v>
      </c>
      <c r="D50" s="307">
        <f t="shared" si="1"/>
        <v>0</v>
      </c>
      <c r="E50" s="308">
        <f t="shared" si="1"/>
        <v>0</v>
      </c>
      <c r="F50" s="270"/>
      <c r="G50" s="309"/>
      <c r="H50" s="310">
        <f t="shared" si="2"/>
        <v>0</v>
      </c>
      <c r="I50" s="311">
        <f t="shared" si="2"/>
        <v>0</v>
      </c>
      <c r="J50" s="311">
        <f t="shared" si="2"/>
        <v>0</v>
      </c>
      <c r="K50" s="312">
        <f t="shared" si="3"/>
        <v>0</v>
      </c>
      <c r="L50" s="295"/>
    </row>
    <row r="51" spans="1:12" s="8" customFormat="1" ht="14.1" customHeight="1">
      <c r="A51" s="304">
        <v>4</v>
      </c>
      <c r="B51" s="305">
        <f t="shared" si="1"/>
        <v>0</v>
      </c>
      <c r="C51" s="306">
        <f t="shared" si="1"/>
        <v>0</v>
      </c>
      <c r="D51" s="307">
        <f t="shared" si="1"/>
        <v>0</v>
      </c>
      <c r="E51" s="308">
        <f t="shared" si="1"/>
        <v>0</v>
      </c>
      <c r="F51" s="270"/>
      <c r="G51" s="309"/>
      <c r="H51" s="310">
        <f t="shared" si="2"/>
        <v>0</v>
      </c>
      <c r="I51" s="311">
        <f t="shared" si="2"/>
        <v>0</v>
      </c>
      <c r="J51" s="311">
        <f t="shared" si="2"/>
        <v>0</v>
      </c>
      <c r="K51" s="312">
        <f t="shared" si="3"/>
        <v>0</v>
      </c>
      <c r="L51" s="295"/>
    </row>
    <row r="52" spans="1:12" s="8" customFormat="1" ht="14.1" customHeight="1">
      <c r="A52" s="304">
        <v>5</v>
      </c>
      <c r="B52" s="305">
        <f t="shared" si="1"/>
        <v>0</v>
      </c>
      <c r="C52" s="306">
        <f t="shared" si="1"/>
        <v>0</v>
      </c>
      <c r="D52" s="307">
        <f t="shared" si="1"/>
        <v>0</v>
      </c>
      <c r="E52" s="308">
        <f t="shared" si="1"/>
        <v>0</v>
      </c>
      <c r="F52" s="270"/>
      <c r="G52" s="309"/>
      <c r="H52" s="310">
        <f t="shared" si="2"/>
        <v>0</v>
      </c>
      <c r="I52" s="311">
        <f t="shared" si="2"/>
        <v>0</v>
      </c>
      <c r="J52" s="311">
        <f t="shared" si="2"/>
        <v>0</v>
      </c>
      <c r="K52" s="312">
        <f t="shared" si="3"/>
        <v>0</v>
      </c>
      <c r="L52" s="295"/>
    </row>
    <row r="53" spans="1:12" s="8" customFormat="1" ht="14.1" customHeight="1">
      <c r="A53" s="304">
        <v>6</v>
      </c>
      <c r="B53" s="305">
        <f t="shared" si="1"/>
        <v>0</v>
      </c>
      <c r="C53" s="306">
        <f t="shared" si="1"/>
        <v>0</v>
      </c>
      <c r="D53" s="307">
        <f t="shared" si="1"/>
        <v>0</v>
      </c>
      <c r="E53" s="308">
        <f t="shared" si="1"/>
        <v>0</v>
      </c>
      <c r="F53" s="270"/>
      <c r="G53" s="309"/>
      <c r="H53" s="310">
        <f t="shared" si="2"/>
        <v>0</v>
      </c>
      <c r="I53" s="311">
        <f t="shared" si="2"/>
        <v>0</v>
      </c>
      <c r="J53" s="311">
        <f t="shared" si="2"/>
        <v>0</v>
      </c>
      <c r="K53" s="312">
        <f t="shared" si="3"/>
        <v>0</v>
      </c>
      <c r="L53" s="295"/>
    </row>
    <row r="54" spans="1:12" s="8" customFormat="1" ht="14.1" customHeight="1">
      <c r="A54" s="304">
        <v>7</v>
      </c>
      <c r="B54" s="305">
        <f t="shared" si="1"/>
        <v>0</v>
      </c>
      <c r="C54" s="306">
        <f t="shared" si="1"/>
        <v>0</v>
      </c>
      <c r="D54" s="307">
        <f t="shared" si="1"/>
        <v>0</v>
      </c>
      <c r="E54" s="308">
        <f t="shared" si="1"/>
        <v>0</v>
      </c>
      <c r="F54" s="270"/>
      <c r="G54" s="309"/>
      <c r="H54" s="310">
        <f t="shared" si="2"/>
        <v>0</v>
      </c>
      <c r="I54" s="311">
        <f t="shared" si="2"/>
        <v>0</v>
      </c>
      <c r="J54" s="311">
        <f t="shared" si="2"/>
        <v>0</v>
      </c>
      <c r="K54" s="312">
        <f t="shared" si="3"/>
        <v>0</v>
      </c>
      <c r="L54" s="295"/>
    </row>
    <row r="55" spans="1:12" s="8" customFormat="1" ht="14.1" customHeight="1">
      <c r="A55" s="304">
        <v>8</v>
      </c>
      <c r="B55" s="305">
        <f t="shared" si="1"/>
        <v>0</v>
      </c>
      <c r="C55" s="306">
        <f t="shared" si="1"/>
        <v>0</v>
      </c>
      <c r="D55" s="307">
        <f t="shared" si="1"/>
        <v>0</v>
      </c>
      <c r="E55" s="313">
        <f t="shared" si="1"/>
        <v>0</v>
      </c>
      <c r="F55" s="270"/>
      <c r="G55" s="309"/>
      <c r="H55" s="310">
        <f t="shared" si="2"/>
        <v>0</v>
      </c>
      <c r="I55" s="311">
        <f t="shared" si="2"/>
        <v>0</v>
      </c>
      <c r="J55" s="311">
        <f t="shared" si="2"/>
        <v>0</v>
      </c>
      <c r="K55" s="312">
        <f t="shared" si="3"/>
        <v>0</v>
      </c>
      <c r="L55" s="295"/>
    </row>
    <row r="56" spans="1:12" s="8" customFormat="1" ht="14.1" customHeight="1">
      <c r="A56" s="304">
        <v>9</v>
      </c>
      <c r="B56" s="305">
        <f t="shared" si="1"/>
        <v>0</v>
      </c>
      <c r="C56" s="306">
        <f t="shared" si="1"/>
        <v>0</v>
      </c>
      <c r="D56" s="307">
        <f t="shared" si="1"/>
        <v>0</v>
      </c>
      <c r="E56" s="308">
        <f t="shared" si="1"/>
        <v>0</v>
      </c>
      <c r="F56" s="270"/>
      <c r="G56" s="309"/>
      <c r="H56" s="310">
        <f t="shared" si="2"/>
        <v>0</v>
      </c>
      <c r="I56" s="311">
        <f t="shared" si="2"/>
        <v>0</v>
      </c>
      <c r="J56" s="311">
        <f t="shared" si="2"/>
        <v>0</v>
      </c>
      <c r="K56" s="312">
        <f t="shared" si="3"/>
        <v>0</v>
      </c>
      <c r="L56" s="295"/>
    </row>
    <row r="57" spans="1:12" s="8" customFormat="1" ht="14.1" customHeight="1">
      <c r="A57" s="304">
        <v>10</v>
      </c>
      <c r="B57" s="305">
        <f t="shared" si="1"/>
        <v>0</v>
      </c>
      <c r="C57" s="306">
        <f t="shared" si="1"/>
        <v>0</v>
      </c>
      <c r="D57" s="307">
        <f t="shared" si="1"/>
        <v>0</v>
      </c>
      <c r="E57" s="308">
        <f t="shared" si="1"/>
        <v>0</v>
      </c>
      <c r="F57" s="270"/>
      <c r="G57" s="309"/>
      <c r="H57" s="310">
        <f t="shared" si="2"/>
        <v>0</v>
      </c>
      <c r="I57" s="311">
        <f t="shared" si="2"/>
        <v>0</v>
      </c>
      <c r="J57" s="311">
        <f t="shared" si="2"/>
        <v>0</v>
      </c>
      <c r="K57" s="312">
        <f t="shared" si="3"/>
        <v>0</v>
      </c>
      <c r="L57" s="295"/>
    </row>
    <row r="58" spans="1:12" s="8" customFormat="1" ht="14.1" customHeight="1">
      <c r="A58" s="304">
        <v>11</v>
      </c>
      <c r="B58" s="305">
        <f t="shared" si="1"/>
        <v>0</v>
      </c>
      <c r="C58" s="306">
        <f t="shared" si="1"/>
        <v>0</v>
      </c>
      <c r="D58" s="307">
        <f t="shared" si="1"/>
        <v>0</v>
      </c>
      <c r="E58" s="308">
        <f t="shared" si="1"/>
        <v>0</v>
      </c>
      <c r="F58" s="270"/>
      <c r="G58" s="309"/>
      <c r="H58" s="310">
        <f t="shared" si="2"/>
        <v>0</v>
      </c>
      <c r="I58" s="311">
        <f t="shared" si="2"/>
        <v>0</v>
      </c>
      <c r="J58" s="311">
        <f t="shared" si="2"/>
        <v>0</v>
      </c>
      <c r="K58" s="312">
        <f t="shared" si="3"/>
        <v>0</v>
      </c>
      <c r="L58" s="295"/>
    </row>
    <row r="59" spans="1:12" s="8" customFormat="1" ht="14.1" customHeight="1">
      <c r="A59" s="304">
        <v>12</v>
      </c>
      <c r="B59" s="305">
        <f t="shared" si="1"/>
        <v>0</v>
      </c>
      <c r="C59" s="306">
        <f t="shared" si="1"/>
        <v>0</v>
      </c>
      <c r="D59" s="307">
        <f t="shared" si="1"/>
        <v>0</v>
      </c>
      <c r="E59" s="308">
        <f t="shared" si="1"/>
        <v>0</v>
      </c>
      <c r="F59" s="270"/>
      <c r="G59" s="309"/>
      <c r="H59" s="310">
        <f t="shared" si="2"/>
        <v>0</v>
      </c>
      <c r="I59" s="311">
        <f t="shared" si="2"/>
        <v>0</v>
      </c>
      <c r="J59" s="311">
        <f t="shared" si="2"/>
        <v>0</v>
      </c>
      <c r="K59" s="312">
        <f t="shared" si="3"/>
        <v>0</v>
      </c>
      <c r="L59" s="295"/>
    </row>
    <row r="60" spans="1:12" s="8" customFormat="1" ht="14.1" customHeight="1">
      <c r="A60" s="304">
        <v>13</v>
      </c>
      <c r="B60" s="305">
        <f t="shared" si="1"/>
        <v>0</v>
      </c>
      <c r="C60" s="306">
        <f t="shared" si="1"/>
        <v>0</v>
      </c>
      <c r="D60" s="307">
        <f t="shared" si="1"/>
        <v>0</v>
      </c>
      <c r="E60" s="308">
        <f t="shared" si="1"/>
        <v>0</v>
      </c>
      <c r="F60" s="270"/>
      <c r="G60" s="309"/>
      <c r="H60" s="310">
        <f t="shared" si="2"/>
        <v>0</v>
      </c>
      <c r="I60" s="311">
        <f t="shared" si="2"/>
        <v>0</v>
      </c>
      <c r="J60" s="311">
        <f t="shared" si="2"/>
        <v>0</v>
      </c>
      <c r="K60" s="312">
        <f t="shared" si="3"/>
        <v>0</v>
      </c>
      <c r="L60" s="295"/>
    </row>
    <row r="61" spans="1:12" s="8" customFormat="1" ht="14.1" customHeight="1">
      <c r="A61" s="304">
        <v>14</v>
      </c>
      <c r="B61" s="305">
        <f t="shared" si="1"/>
        <v>0</v>
      </c>
      <c r="C61" s="306">
        <f t="shared" si="1"/>
        <v>0</v>
      </c>
      <c r="D61" s="307">
        <f t="shared" si="1"/>
        <v>0</v>
      </c>
      <c r="E61" s="308">
        <f t="shared" si="1"/>
        <v>0</v>
      </c>
      <c r="F61" s="270"/>
      <c r="G61" s="309"/>
      <c r="H61" s="310">
        <f t="shared" si="2"/>
        <v>0</v>
      </c>
      <c r="I61" s="311">
        <f t="shared" si="2"/>
        <v>0</v>
      </c>
      <c r="J61" s="311">
        <f t="shared" si="2"/>
        <v>0</v>
      </c>
      <c r="K61" s="312">
        <f t="shared" si="3"/>
        <v>0</v>
      </c>
      <c r="L61" s="295"/>
    </row>
    <row r="62" spans="1:12" s="8" customFormat="1" ht="14.1" customHeight="1">
      <c r="A62" s="304">
        <v>15</v>
      </c>
      <c r="B62" s="305">
        <f t="shared" si="1"/>
        <v>0</v>
      </c>
      <c r="C62" s="306">
        <f t="shared" si="1"/>
        <v>0</v>
      </c>
      <c r="D62" s="307">
        <f t="shared" si="1"/>
        <v>0</v>
      </c>
      <c r="E62" s="308">
        <f t="shared" si="1"/>
        <v>0</v>
      </c>
      <c r="F62" s="270"/>
      <c r="G62" s="309"/>
      <c r="H62" s="310">
        <f t="shared" si="2"/>
        <v>0</v>
      </c>
      <c r="I62" s="311">
        <f t="shared" si="2"/>
        <v>0</v>
      </c>
      <c r="J62" s="311">
        <f t="shared" si="2"/>
        <v>0</v>
      </c>
      <c r="K62" s="312">
        <f t="shared" si="3"/>
        <v>0</v>
      </c>
      <c r="L62" s="295"/>
    </row>
    <row r="63" spans="1:12" s="8" customFormat="1" ht="14.1" customHeight="1">
      <c r="A63" s="304">
        <v>16</v>
      </c>
      <c r="B63" s="305">
        <f t="shared" si="1"/>
        <v>0</v>
      </c>
      <c r="C63" s="306">
        <f t="shared" si="1"/>
        <v>0</v>
      </c>
      <c r="D63" s="307">
        <f t="shared" si="1"/>
        <v>0</v>
      </c>
      <c r="E63" s="313">
        <f t="shared" si="1"/>
        <v>0</v>
      </c>
      <c r="F63" s="270"/>
      <c r="G63" s="309"/>
      <c r="H63" s="310">
        <f t="shared" si="2"/>
        <v>0</v>
      </c>
      <c r="I63" s="311">
        <f t="shared" si="2"/>
        <v>0</v>
      </c>
      <c r="J63" s="311">
        <f t="shared" si="2"/>
        <v>0</v>
      </c>
      <c r="K63" s="312">
        <f t="shared" si="3"/>
        <v>0</v>
      </c>
      <c r="L63" s="295"/>
    </row>
    <row r="64" spans="1:12" s="8" customFormat="1" ht="9.9499999999999993" customHeight="1">
      <c r="A64" s="265"/>
      <c r="B64" s="314"/>
      <c r="C64" s="314"/>
      <c r="D64" s="315"/>
      <c r="E64" s="316"/>
      <c r="F64" s="317"/>
      <c r="G64" s="318"/>
      <c r="H64" s="319"/>
      <c r="I64" s="320"/>
      <c r="J64" s="320"/>
      <c r="K64" s="321"/>
      <c r="L64" s="295"/>
    </row>
    <row r="65" spans="1:12" s="8" customFormat="1" ht="5.0999999999999996" customHeight="1">
      <c r="A65" s="265"/>
      <c r="B65" s="322"/>
      <c r="C65" s="322"/>
      <c r="D65" s="285"/>
      <c r="E65" s="270"/>
      <c r="F65" s="270"/>
      <c r="G65" s="270"/>
      <c r="H65" s="270"/>
      <c r="I65" s="323"/>
      <c r="J65" s="546"/>
      <c r="K65" s="532"/>
      <c r="L65" s="270"/>
    </row>
    <row r="66" spans="1:12" s="8" customFormat="1" ht="16.5" customHeight="1">
      <c r="A66" s="265"/>
      <c r="B66" s="322"/>
      <c r="C66" s="322"/>
      <c r="D66" s="285"/>
      <c r="E66" s="270"/>
      <c r="F66" s="270"/>
      <c r="G66" s="270"/>
      <c r="H66" s="270"/>
      <c r="I66" s="324" t="s">
        <v>21</v>
      </c>
      <c r="J66" s="547">
        <f>SUM(K48:K63)</f>
        <v>750000</v>
      </c>
      <c r="K66" s="548"/>
      <c r="L66" s="295"/>
    </row>
    <row r="67" spans="1:12" s="8" customFormat="1" ht="5.0999999999999996" customHeight="1">
      <c r="A67" s="265"/>
      <c r="B67" s="322"/>
      <c r="C67" s="322"/>
      <c r="D67" s="285"/>
      <c r="E67" s="270"/>
      <c r="F67" s="270"/>
      <c r="G67" s="270"/>
      <c r="H67" s="270"/>
      <c r="I67" s="325"/>
      <c r="J67" s="549"/>
      <c r="K67" s="549"/>
      <c r="L67" s="270"/>
    </row>
    <row r="68" spans="1:12" s="8" customFormat="1" ht="16.5" customHeight="1">
      <c r="A68" s="265"/>
      <c r="B68" s="322"/>
      <c r="C68" s="322"/>
      <c r="D68" s="285"/>
      <c r="E68" s="270"/>
      <c r="F68" s="270"/>
      <c r="G68" s="270"/>
      <c r="H68" s="270"/>
      <c r="I68" s="324" t="s">
        <v>22</v>
      </c>
      <c r="J68" s="326">
        <f>J30</f>
        <v>0</v>
      </c>
      <c r="K68" s="327">
        <f>J66*J68</f>
        <v>0</v>
      </c>
      <c r="L68" s="278"/>
    </row>
    <row r="69" spans="1:12" s="8" customFormat="1" ht="5.0999999999999996" customHeight="1">
      <c r="A69" s="265"/>
      <c r="B69" s="322"/>
      <c r="C69" s="322"/>
      <c r="D69" s="285"/>
      <c r="E69" s="270"/>
      <c r="F69" s="270"/>
      <c r="G69" s="270"/>
      <c r="H69" s="270"/>
      <c r="I69" s="325"/>
      <c r="J69" s="532"/>
      <c r="K69" s="532"/>
      <c r="L69" s="270"/>
    </row>
    <row r="70" spans="1:12" s="8" customFormat="1" ht="16.5" customHeight="1">
      <c r="A70" s="265"/>
      <c r="B70" s="270" t="s">
        <v>23</v>
      </c>
      <c r="C70" s="270"/>
      <c r="D70" s="285"/>
      <c r="E70" s="285" t="s">
        <v>24</v>
      </c>
      <c r="F70" s="270"/>
      <c r="G70" s="270"/>
      <c r="H70" s="270"/>
      <c r="I70" s="324" t="s">
        <v>25</v>
      </c>
      <c r="J70" s="550">
        <f>((J66/1.11)+(K68/1.11))*11%</f>
        <v>74324.32432432432</v>
      </c>
      <c r="K70" s="551"/>
      <c r="L70" s="328"/>
    </row>
    <row r="71" spans="1:12" s="8" customFormat="1" ht="5.0999999999999996" customHeight="1">
      <c r="A71" s="265"/>
      <c r="B71" s="322"/>
      <c r="C71" s="322"/>
      <c r="D71" s="285"/>
      <c r="E71" s="270"/>
      <c r="F71" s="270"/>
      <c r="G71" s="270"/>
      <c r="H71" s="270"/>
      <c r="I71" s="325"/>
      <c r="J71" s="532"/>
      <c r="K71" s="532"/>
      <c r="L71" s="270"/>
    </row>
    <row r="72" spans="1:12" s="8" customFormat="1" ht="16.5" customHeight="1">
      <c r="A72" s="265"/>
      <c r="B72" s="329"/>
      <c r="C72" s="317"/>
      <c r="D72" s="285"/>
      <c r="E72" s="285"/>
      <c r="F72" s="270"/>
      <c r="G72" s="270"/>
      <c r="H72" s="270"/>
      <c r="I72" s="324" t="s">
        <v>26</v>
      </c>
      <c r="J72" s="330"/>
      <c r="K72" s="331">
        <f>J66-K68</f>
        <v>750000</v>
      </c>
      <c r="L72" s="328"/>
    </row>
    <row r="73" spans="1:12" s="8" customFormat="1" ht="7.5" customHeight="1">
      <c r="A73" s="265"/>
      <c r="B73" s="270"/>
      <c r="C73" s="270"/>
      <c r="D73" s="285"/>
      <c r="E73" s="332"/>
      <c r="F73" s="322"/>
      <c r="G73" s="270"/>
      <c r="H73" s="270"/>
      <c r="I73" s="332"/>
      <c r="J73" s="332"/>
      <c r="K73" s="322"/>
      <c r="L73" s="270"/>
    </row>
    <row r="74" spans="1:12" s="8" customFormat="1" ht="13.5" customHeight="1">
      <c r="A74" s="265"/>
      <c r="B74" s="333" t="s">
        <v>27</v>
      </c>
      <c r="C74" s="270"/>
      <c r="D74" s="285"/>
      <c r="E74" s="270"/>
      <c r="F74" s="270"/>
      <c r="G74" s="270"/>
      <c r="H74" s="334"/>
      <c r="I74" s="335" t="s">
        <v>12</v>
      </c>
      <c r="J74" s="552" t="str">
        <f>J36</f>
        <v>NOVI / CONDRO</v>
      </c>
      <c r="K74" s="553"/>
      <c r="L74" s="270"/>
    </row>
    <row r="75" spans="1:12" s="8" customFormat="1" ht="13.5" customHeight="1">
      <c r="A75" s="265"/>
      <c r="B75" s="265"/>
      <c r="C75" s="270"/>
      <c r="D75" s="270"/>
      <c r="E75" s="270"/>
      <c r="F75" s="270"/>
      <c r="G75" s="270"/>
      <c r="H75" s="334"/>
      <c r="I75" s="336" t="s">
        <v>139</v>
      </c>
      <c r="J75" s="552">
        <f>J37</f>
        <v>0</v>
      </c>
      <c r="K75" s="553"/>
      <c r="L75" s="270"/>
    </row>
    <row r="76" spans="1:12" s="8" customFormat="1" ht="7.5" customHeight="1">
      <c r="A76" s="265"/>
      <c r="B76" s="265"/>
      <c r="C76" s="270"/>
      <c r="D76" s="270"/>
      <c r="E76" s="270"/>
      <c r="F76" s="270"/>
      <c r="G76" s="270"/>
      <c r="H76" s="334"/>
      <c r="I76" s="336"/>
      <c r="J76" s="337"/>
      <c r="K76" s="337"/>
      <c r="L76" s="270"/>
    </row>
    <row r="77" spans="1:12" ht="7.5" customHeight="1">
      <c r="A77" s="338"/>
      <c r="B77" s="339"/>
      <c r="C77" s="339"/>
      <c r="D77" s="340"/>
      <c r="E77" s="339"/>
      <c r="F77" s="339"/>
      <c r="G77" s="339"/>
      <c r="H77" s="339"/>
      <c r="I77" s="341"/>
      <c r="J77" s="341"/>
      <c r="K77" s="339"/>
      <c r="L77" s="339"/>
    </row>
    <row r="78" spans="1:12" s="8" customFormat="1" ht="16.5" customHeight="1">
      <c r="A78" s="342"/>
      <c r="B78" s="343" t="s">
        <v>1</v>
      </c>
      <c r="C78" s="344"/>
      <c r="D78" s="345" t="str">
        <f>D40</f>
        <v>AM</v>
      </c>
      <c r="E78" s="346">
        <f>E40</f>
        <v>23110001</v>
      </c>
      <c r="F78" s="347"/>
      <c r="G78" s="348" t="s">
        <v>16</v>
      </c>
      <c r="H78" s="554" t="str">
        <f>H40</f>
        <v>CV TRINITY CENTRAAL</v>
      </c>
      <c r="I78" s="554"/>
      <c r="J78" s="554"/>
      <c r="K78" s="555"/>
      <c r="L78" s="349"/>
    </row>
    <row r="79" spans="1:12" s="8" customFormat="1" ht="7.5" customHeight="1">
      <c r="A79" s="342"/>
      <c r="B79" s="350"/>
      <c r="C79" s="351"/>
      <c r="D79" s="352"/>
      <c r="E79" s="353"/>
      <c r="F79" s="558" t="s">
        <v>18</v>
      </c>
      <c r="G79" s="354"/>
      <c r="H79" s="556"/>
      <c r="I79" s="556"/>
      <c r="J79" s="556"/>
      <c r="K79" s="557"/>
      <c r="L79" s="349"/>
    </row>
    <row r="80" spans="1:12" s="8" customFormat="1" ht="16.5" customHeight="1">
      <c r="A80" s="342"/>
      <c r="B80" s="343" t="s">
        <v>2</v>
      </c>
      <c r="C80" s="344"/>
      <c r="D80" s="559">
        <f>D42</f>
        <v>45232</v>
      </c>
      <c r="E80" s="560"/>
      <c r="F80" s="558"/>
      <c r="G80" s="355"/>
      <c r="H80" s="561" t="str">
        <f>H42</f>
        <v/>
      </c>
      <c r="I80" s="561"/>
      <c r="J80" s="561"/>
      <c r="K80" s="562"/>
      <c r="L80" s="355"/>
    </row>
    <row r="81" spans="1:12" s="8" customFormat="1" ht="7.5" customHeight="1">
      <c r="A81" s="342"/>
      <c r="B81" s="350"/>
      <c r="C81" s="351"/>
      <c r="D81" s="352"/>
      <c r="E81" s="353"/>
      <c r="F81" s="558"/>
      <c r="G81" s="355"/>
      <c r="H81" s="563" t="str">
        <f>H43</f>
        <v>PURWOKERTO</v>
      </c>
      <c r="I81" s="563"/>
      <c r="J81" s="563"/>
      <c r="K81" s="564"/>
      <c r="L81" s="356"/>
    </row>
    <row r="82" spans="1:12" s="8" customFormat="1" ht="16.5" customHeight="1">
      <c r="A82" s="342"/>
      <c r="B82" s="343" t="s">
        <v>3</v>
      </c>
      <c r="C82" s="344"/>
      <c r="D82" s="357" t="str">
        <f>D44</f>
        <v>KO 4680</v>
      </c>
      <c r="E82" s="346"/>
      <c r="F82" s="358"/>
      <c r="G82" s="359"/>
      <c r="H82" s="565"/>
      <c r="I82" s="565"/>
      <c r="J82" s="565"/>
      <c r="K82" s="566"/>
      <c r="L82" s="356"/>
    </row>
    <row r="83" spans="1:12" s="8" customFormat="1" ht="7.5" customHeight="1">
      <c r="A83" s="342"/>
      <c r="B83" s="360"/>
      <c r="C83" s="361"/>
      <c r="D83" s="362"/>
      <c r="E83" s="347"/>
      <c r="F83" s="363"/>
      <c r="G83" s="347"/>
      <c r="H83" s="347"/>
      <c r="I83" s="364"/>
      <c r="J83" s="364"/>
      <c r="K83" s="347"/>
      <c r="L83" s="347"/>
    </row>
    <row r="84" spans="1:12" s="8" customFormat="1" ht="14.25" thickBot="1">
      <c r="A84" s="342"/>
      <c r="B84" s="365" t="s">
        <v>5</v>
      </c>
      <c r="C84" s="365" t="s">
        <v>6</v>
      </c>
      <c r="D84" s="366" t="s">
        <v>7</v>
      </c>
      <c r="E84" s="367"/>
      <c r="F84" s="368" t="s">
        <v>8</v>
      </c>
      <c r="G84" s="369"/>
      <c r="H84" s="365" t="s">
        <v>9</v>
      </c>
      <c r="I84" s="370" t="s">
        <v>10</v>
      </c>
      <c r="J84" s="370" t="s">
        <v>11</v>
      </c>
      <c r="K84" s="371" t="s">
        <v>20</v>
      </c>
      <c r="L84" s="372"/>
    </row>
    <row r="85" spans="1:12" s="8" customFormat="1" ht="9.9499999999999993" customHeight="1" thickTop="1">
      <c r="A85" s="342"/>
      <c r="B85" s="373"/>
      <c r="C85" s="374"/>
      <c r="D85" s="375"/>
      <c r="E85" s="376"/>
      <c r="F85" s="377"/>
      <c r="G85" s="378"/>
      <c r="H85" s="373"/>
      <c r="I85" s="379"/>
      <c r="J85" s="379"/>
      <c r="K85" s="380"/>
      <c r="L85" s="372"/>
    </row>
    <row r="86" spans="1:12" s="8" customFormat="1" ht="14.1" customHeight="1">
      <c r="A86" s="381">
        <v>1</v>
      </c>
      <c r="B86" s="382">
        <f t="shared" ref="B86:E101" si="4">B48</f>
        <v>20</v>
      </c>
      <c r="C86" s="383" t="str">
        <f t="shared" si="4"/>
        <v>PAK</v>
      </c>
      <c r="D86" s="384" t="str">
        <f t="shared" si="4"/>
        <v/>
      </c>
      <c r="E86" s="385" t="str">
        <f t="shared" si="4"/>
        <v>KARTU STOCK FOLIO (4 WARNA)</v>
      </c>
      <c r="F86" s="347"/>
      <c r="G86" s="386"/>
      <c r="H86" s="387">
        <f t="shared" ref="H86:J101" si="5">H48</f>
        <v>37500</v>
      </c>
      <c r="I86" s="388">
        <f t="shared" si="5"/>
        <v>0</v>
      </c>
      <c r="J86" s="388">
        <f t="shared" si="5"/>
        <v>0</v>
      </c>
      <c r="K86" s="389">
        <f t="shared" ref="K86:K101" si="6">(B86*H86-((B86*H86)*I86))-((B86*H86-((B86*H86)*I86))*J86)</f>
        <v>750000</v>
      </c>
      <c r="L86" s="372"/>
    </row>
    <row r="87" spans="1:12" s="8" customFormat="1" ht="14.1" customHeight="1">
      <c r="A87" s="381">
        <v>2</v>
      </c>
      <c r="B87" s="382">
        <f t="shared" si="4"/>
        <v>0</v>
      </c>
      <c r="C87" s="383">
        <f t="shared" si="4"/>
        <v>0</v>
      </c>
      <c r="D87" s="384">
        <f t="shared" si="4"/>
        <v>0</v>
      </c>
      <c r="E87" s="385">
        <f t="shared" si="4"/>
        <v>0</v>
      </c>
      <c r="F87" s="347"/>
      <c r="G87" s="386"/>
      <c r="H87" s="387">
        <f t="shared" si="5"/>
        <v>0</v>
      </c>
      <c r="I87" s="388">
        <f t="shared" si="5"/>
        <v>0</v>
      </c>
      <c r="J87" s="388">
        <f t="shared" si="5"/>
        <v>0</v>
      </c>
      <c r="K87" s="389">
        <f t="shared" si="6"/>
        <v>0</v>
      </c>
      <c r="L87" s="372"/>
    </row>
    <row r="88" spans="1:12" s="8" customFormat="1" ht="14.1" customHeight="1">
      <c r="A88" s="381">
        <v>3</v>
      </c>
      <c r="B88" s="382">
        <f t="shared" si="4"/>
        <v>0</v>
      </c>
      <c r="C88" s="383">
        <f t="shared" si="4"/>
        <v>0</v>
      </c>
      <c r="D88" s="384">
        <f t="shared" si="4"/>
        <v>0</v>
      </c>
      <c r="E88" s="385">
        <f t="shared" si="4"/>
        <v>0</v>
      </c>
      <c r="F88" s="347"/>
      <c r="G88" s="386"/>
      <c r="H88" s="387">
        <f t="shared" si="5"/>
        <v>0</v>
      </c>
      <c r="I88" s="388">
        <f t="shared" si="5"/>
        <v>0</v>
      </c>
      <c r="J88" s="388">
        <f t="shared" si="5"/>
        <v>0</v>
      </c>
      <c r="K88" s="389">
        <f t="shared" si="6"/>
        <v>0</v>
      </c>
      <c r="L88" s="372"/>
    </row>
    <row r="89" spans="1:12" s="8" customFormat="1" ht="14.1" customHeight="1">
      <c r="A89" s="381">
        <v>4</v>
      </c>
      <c r="B89" s="382">
        <f t="shared" si="4"/>
        <v>0</v>
      </c>
      <c r="C89" s="383">
        <f t="shared" si="4"/>
        <v>0</v>
      </c>
      <c r="D89" s="384">
        <f t="shared" si="4"/>
        <v>0</v>
      </c>
      <c r="E89" s="385">
        <f t="shared" si="4"/>
        <v>0</v>
      </c>
      <c r="F89" s="347"/>
      <c r="G89" s="386"/>
      <c r="H89" s="387">
        <f t="shared" si="5"/>
        <v>0</v>
      </c>
      <c r="I89" s="388">
        <f t="shared" si="5"/>
        <v>0</v>
      </c>
      <c r="J89" s="388">
        <f t="shared" si="5"/>
        <v>0</v>
      </c>
      <c r="K89" s="389">
        <f t="shared" si="6"/>
        <v>0</v>
      </c>
      <c r="L89" s="372"/>
    </row>
    <row r="90" spans="1:12" s="8" customFormat="1" ht="14.1" customHeight="1">
      <c r="A90" s="381">
        <v>5</v>
      </c>
      <c r="B90" s="382">
        <f t="shared" si="4"/>
        <v>0</v>
      </c>
      <c r="C90" s="383">
        <f t="shared" si="4"/>
        <v>0</v>
      </c>
      <c r="D90" s="384">
        <f t="shared" si="4"/>
        <v>0</v>
      </c>
      <c r="E90" s="385">
        <f t="shared" si="4"/>
        <v>0</v>
      </c>
      <c r="F90" s="347"/>
      <c r="G90" s="386"/>
      <c r="H90" s="387">
        <f t="shared" si="5"/>
        <v>0</v>
      </c>
      <c r="I90" s="388">
        <f t="shared" si="5"/>
        <v>0</v>
      </c>
      <c r="J90" s="388">
        <f t="shared" si="5"/>
        <v>0</v>
      </c>
      <c r="K90" s="389">
        <f t="shared" si="6"/>
        <v>0</v>
      </c>
      <c r="L90" s="372"/>
    </row>
    <row r="91" spans="1:12" s="8" customFormat="1" ht="14.1" customHeight="1">
      <c r="A91" s="381">
        <v>6</v>
      </c>
      <c r="B91" s="382">
        <f t="shared" si="4"/>
        <v>0</v>
      </c>
      <c r="C91" s="383">
        <f t="shared" si="4"/>
        <v>0</v>
      </c>
      <c r="D91" s="384">
        <f t="shared" si="4"/>
        <v>0</v>
      </c>
      <c r="E91" s="385">
        <f t="shared" si="4"/>
        <v>0</v>
      </c>
      <c r="F91" s="347"/>
      <c r="G91" s="386"/>
      <c r="H91" s="387">
        <f t="shared" si="5"/>
        <v>0</v>
      </c>
      <c r="I91" s="388">
        <f t="shared" si="5"/>
        <v>0</v>
      </c>
      <c r="J91" s="388">
        <f t="shared" si="5"/>
        <v>0</v>
      </c>
      <c r="K91" s="389">
        <f t="shared" si="6"/>
        <v>0</v>
      </c>
      <c r="L91" s="372"/>
    </row>
    <row r="92" spans="1:12" s="8" customFormat="1" ht="14.1" customHeight="1">
      <c r="A92" s="381">
        <v>7</v>
      </c>
      <c r="B92" s="382">
        <f t="shared" si="4"/>
        <v>0</v>
      </c>
      <c r="C92" s="383">
        <f t="shared" si="4"/>
        <v>0</v>
      </c>
      <c r="D92" s="384">
        <f t="shared" si="4"/>
        <v>0</v>
      </c>
      <c r="E92" s="385">
        <f t="shared" si="4"/>
        <v>0</v>
      </c>
      <c r="F92" s="347"/>
      <c r="G92" s="386"/>
      <c r="H92" s="387">
        <f t="shared" si="5"/>
        <v>0</v>
      </c>
      <c r="I92" s="388">
        <f t="shared" si="5"/>
        <v>0</v>
      </c>
      <c r="J92" s="388">
        <f t="shared" si="5"/>
        <v>0</v>
      </c>
      <c r="K92" s="389">
        <f t="shared" si="6"/>
        <v>0</v>
      </c>
      <c r="L92" s="372"/>
    </row>
    <row r="93" spans="1:12" s="8" customFormat="1" ht="14.1" customHeight="1">
      <c r="A93" s="381">
        <v>8</v>
      </c>
      <c r="B93" s="382">
        <f t="shared" si="4"/>
        <v>0</v>
      </c>
      <c r="C93" s="383">
        <f t="shared" si="4"/>
        <v>0</v>
      </c>
      <c r="D93" s="384">
        <f t="shared" si="4"/>
        <v>0</v>
      </c>
      <c r="E93" s="390">
        <f t="shared" si="4"/>
        <v>0</v>
      </c>
      <c r="F93" s="347"/>
      <c r="G93" s="386"/>
      <c r="H93" s="387">
        <f t="shared" si="5"/>
        <v>0</v>
      </c>
      <c r="I93" s="388">
        <f t="shared" si="5"/>
        <v>0</v>
      </c>
      <c r="J93" s="388">
        <f t="shared" si="5"/>
        <v>0</v>
      </c>
      <c r="K93" s="389">
        <f t="shared" si="6"/>
        <v>0</v>
      </c>
      <c r="L93" s="372"/>
    </row>
    <row r="94" spans="1:12" s="8" customFormat="1" ht="14.1" customHeight="1">
      <c r="A94" s="381">
        <v>9</v>
      </c>
      <c r="B94" s="382">
        <f t="shared" si="4"/>
        <v>0</v>
      </c>
      <c r="C94" s="383">
        <f t="shared" si="4"/>
        <v>0</v>
      </c>
      <c r="D94" s="384">
        <f t="shared" si="4"/>
        <v>0</v>
      </c>
      <c r="E94" s="385">
        <f t="shared" si="4"/>
        <v>0</v>
      </c>
      <c r="F94" s="347"/>
      <c r="G94" s="386"/>
      <c r="H94" s="387">
        <f t="shared" si="5"/>
        <v>0</v>
      </c>
      <c r="I94" s="388">
        <f t="shared" si="5"/>
        <v>0</v>
      </c>
      <c r="J94" s="388">
        <f t="shared" si="5"/>
        <v>0</v>
      </c>
      <c r="K94" s="389">
        <f t="shared" si="6"/>
        <v>0</v>
      </c>
      <c r="L94" s="372"/>
    </row>
    <row r="95" spans="1:12" s="8" customFormat="1" ht="14.1" customHeight="1">
      <c r="A95" s="381">
        <v>10</v>
      </c>
      <c r="B95" s="382">
        <f t="shared" si="4"/>
        <v>0</v>
      </c>
      <c r="C95" s="383">
        <f t="shared" si="4"/>
        <v>0</v>
      </c>
      <c r="D95" s="384">
        <f t="shared" si="4"/>
        <v>0</v>
      </c>
      <c r="E95" s="385">
        <f t="shared" si="4"/>
        <v>0</v>
      </c>
      <c r="F95" s="347"/>
      <c r="G95" s="386"/>
      <c r="H95" s="387">
        <f t="shared" si="5"/>
        <v>0</v>
      </c>
      <c r="I95" s="388">
        <f t="shared" si="5"/>
        <v>0</v>
      </c>
      <c r="J95" s="388">
        <f t="shared" si="5"/>
        <v>0</v>
      </c>
      <c r="K95" s="389">
        <f t="shared" si="6"/>
        <v>0</v>
      </c>
      <c r="L95" s="372"/>
    </row>
    <row r="96" spans="1:12" s="8" customFormat="1" ht="14.1" customHeight="1">
      <c r="A96" s="381">
        <v>11</v>
      </c>
      <c r="B96" s="382">
        <f t="shared" si="4"/>
        <v>0</v>
      </c>
      <c r="C96" s="383">
        <f t="shared" si="4"/>
        <v>0</v>
      </c>
      <c r="D96" s="384">
        <f t="shared" si="4"/>
        <v>0</v>
      </c>
      <c r="E96" s="385">
        <f t="shared" si="4"/>
        <v>0</v>
      </c>
      <c r="F96" s="347"/>
      <c r="G96" s="386"/>
      <c r="H96" s="387">
        <f t="shared" si="5"/>
        <v>0</v>
      </c>
      <c r="I96" s="388">
        <f t="shared" si="5"/>
        <v>0</v>
      </c>
      <c r="J96" s="388">
        <f t="shared" si="5"/>
        <v>0</v>
      </c>
      <c r="K96" s="389">
        <f t="shared" si="6"/>
        <v>0</v>
      </c>
      <c r="L96" s="372"/>
    </row>
    <row r="97" spans="1:12" s="8" customFormat="1" ht="14.1" customHeight="1">
      <c r="A97" s="381">
        <v>12</v>
      </c>
      <c r="B97" s="382">
        <f t="shared" si="4"/>
        <v>0</v>
      </c>
      <c r="C97" s="383">
        <f t="shared" si="4"/>
        <v>0</v>
      </c>
      <c r="D97" s="384">
        <f t="shared" si="4"/>
        <v>0</v>
      </c>
      <c r="E97" s="385">
        <f t="shared" si="4"/>
        <v>0</v>
      </c>
      <c r="F97" s="347"/>
      <c r="G97" s="386"/>
      <c r="H97" s="387">
        <f t="shared" si="5"/>
        <v>0</v>
      </c>
      <c r="I97" s="388">
        <f t="shared" si="5"/>
        <v>0</v>
      </c>
      <c r="J97" s="388">
        <f t="shared" si="5"/>
        <v>0</v>
      </c>
      <c r="K97" s="389">
        <f t="shared" si="6"/>
        <v>0</v>
      </c>
      <c r="L97" s="372"/>
    </row>
    <row r="98" spans="1:12" s="8" customFormat="1" ht="14.1" customHeight="1">
      <c r="A98" s="381">
        <v>13</v>
      </c>
      <c r="B98" s="382">
        <f t="shared" si="4"/>
        <v>0</v>
      </c>
      <c r="C98" s="383">
        <f t="shared" si="4"/>
        <v>0</v>
      </c>
      <c r="D98" s="384">
        <f t="shared" si="4"/>
        <v>0</v>
      </c>
      <c r="E98" s="385">
        <f t="shared" si="4"/>
        <v>0</v>
      </c>
      <c r="F98" s="347"/>
      <c r="G98" s="386"/>
      <c r="H98" s="387">
        <f t="shared" si="5"/>
        <v>0</v>
      </c>
      <c r="I98" s="388">
        <f t="shared" si="5"/>
        <v>0</v>
      </c>
      <c r="J98" s="388">
        <f t="shared" si="5"/>
        <v>0</v>
      </c>
      <c r="K98" s="389">
        <f t="shared" si="6"/>
        <v>0</v>
      </c>
      <c r="L98" s="372"/>
    </row>
    <row r="99" spans="1:12" s="8" customFormat="1" ht="14.1" customHeight="1">
      <c r="A99" s="381">
        <v>14</v>
      </c>
      <c r="B99" s="382">
        <f t="shared" si="4"/>
        <v>0</v>
      </c>
      <c r="C99" s="383">
        <f t="shared" si="4"/>
        <v>0</v>
      </c>
      <c r="D99" s="384">
        <f t="shared" si="4"/>
        <v>0</v>
      </c>
      <c r="E99" s="385">
        <f t="shared" si="4"/>
        <v>0</v>
      </c>
      <c r="F99" s="347"/>
      <c r="G99" s="386"/>
      <c r="H99" s="387">
        <f t="shared" si="5"/>
        <v>0</v>
      </c>
      <c r="I99" s="388">
        <f t="shared" si="5"/>
        <v>0</v>
      </c>
      <c r="J99" s="388">
        <f t="shared" si="5"/>
        <v>0</v>
      </c>
      <c r="K99" s="389">
        <f t="shared" si="6"/>
        <v>0</v>
      </c>
      <c r="L99" s="372"/>
    </row>
    <row r="100" spans="1:12" s="8" customFormat="1" ht="14.1" customHeight="1">
      <c r="A100" s="381">
        <v>15</v>
      </c>
      <c r="B100" s="382">
        <f t="shared" si="4"/>
        <v>0</v>
      </c>
      <c r="C100" s="383">
        <f t="shared" si="4"/>
        <v>0</v>
      </c>
      <c r="D100" s="384">
        <f t="shared" si="4"/>
        <v>0</v>
      </c>
      <c r="E100" s="385">
        <f t="shared" si="4"/>
        <v>0</v>
      </c>
      <c r="F100" s="347"/>
      <c r="G100" s="386"/>
      <c r="H100" s="387">
        <f t="shared" si="5"/>
        <v>0</v>
      </c>
      <c r="I100" s="388">
        <f t="shared" si="5"/>
        <v>0</v>
      </c>
      <c r="J100" s="388">
        <f t="shared" si="5"/>
        <v>0</v>
      </c>
      <c r="K100" s="389">
        <f t="shared" si="6"/>
        <v>0</v>
      </c>
      <c r="L100" s="372"/>
    </row>
    <row r="101" spans="1:12" s="8" customFormat="1" ht="14.1" customHeight="1">
      <c r="A101" s="381">
        <v>16</v>
      </c>
      <c r="B101" s="382">
        <f t="shared" si="4"/>
        <v>0</v>
      </c>
      <c r="C101" s="383">
        <f t="shared" si="4"/>
        <v>0</v>
      </c>
      <c r="D101" s="384">
        <f t="shared" si="4"/>
        <v>0</v>
      </c>
      <c r="E101" s="390">
        <f t="shared" si="4"/>
        <v>0</v>
      </c>
      <c r="F101" s="347"/>
      <c r="G101" s="386"/>
      <c r="H101" s="387">
        <f t="shared" si="5"/>
        <v>0</v>
      </c>
      <c r="I101" s="388">
        <f t="shared" si="5"/>
        <v>0</v>
      </c>
      <c r="J101" s="388">
        <f t="shared" si="5"/>
        <v>0</v>
      </c>
      <c r="K101" s="389">
        <f t="shared" si="6"/>
        <v>0</v>
      </c>
      <c r="L101" s="372"/>
    </row>
    <row r="102" spans="1:12" s="8" customFormat="1" ht="9.9499999999999993" customHeight="1">
      <c r="A102" s="342"/>
      <c r="B102" s="391"/>
      <c r="C102" s="391"/>
      <c r="D102" s="392"/>
      <c r="E102" s="393"/>
      <c r="F102" s="394"/>
      <c r="G102" s="395"/>
      <c r="H102" s="396"/>
      <c r="I102" s="397"/>
      <c r="J102" s="397"/>
      <c r="K102" s="398"/>
      <c r="L102" s="372"/>
    </row>
    <row r="103" spans="1:12" s="8" customFormat="1" ht="5.0999999999999996" customHeight="1">
      <c r="A103" s="342"/>
      <c r="B103" s="399"/>
      <c r="C103" s="399"/>
      <c r="D103" s="362"/>
      <c r="E103" s="347"/>
      <c r="F103" s="347"/>
      <c r="G103" s="347"/>
      <c r="H103" s="347"/>
      <c r="I103" s="400"/>
      <c r="J103" s="569"/>
      <c r="K103" s="570"/>
      <c r="L103" s="347"/>
    </row>
    <row r="104" spans="1:12" s="8" customFormat="1" ht="16.5" customHeight="1">
      <c r="A104" s="342"/>
      <c r="B104" s="399"/>
      <c r="C104" s="399"/>
      <c r="D104" s="362"/>
      <c r="E104" s="347"/>
      <c r="F104" s="347"/>
      <c r="G104" s="347"/>
      <c r="H104" s="347"/>
      <c r="I104" s="401" t="s">
        <v>21</v>
      </c>
      <c r="J104" s="571">
        <f>SUM(K86:K101)</f>
        <v>750000</v>
      </c>
      <c r="K104" s="572"/>
      <c r="L104" s="372"/>
    </row>
    <row r="105" spans="1:12" s="8" customFormat="1" ht="5.0999999999999996" customHeight="1">
      <c r="A105" s="342"/>
      <c r="B105" s="399"/>
      <c r="C105" s="399"/>
      <c r="D105" s="362"/>
      <c r="E105" s="347"/>
      <c r="F105" s="347"/>
      <c r="G105" s="347"/>
      <c r="H105" s="347"/>
      <c r="I105" s="402"/>
      <c r="J105" s="573"/>
      <c r="K105" s="573"/>
      <c r="L105" s="347"/>
    </row>
    <row r="106" spans="1:12" s="8" customFormat="1" ht="16.5" customHeight="1">
      <c r="A106" s="342"/>
      <c r="B106" s="399"/>
      <c r="C106" s="399"/>
      <c r="D106" s="362"/>
      <c r="E106" s="347"/>
      <c r="F106" s="347"/>
      <c r="G106" s="347"/>
      <c r="H106" s="347"/>
      <c r="I106" s="401" t="s">
        <v>22</v>
      </c>
      <c r="J106" s="403">
        <f>J68</f>
        <v>0</v>
      </c>
      <c r="K106" s="404">
        <f>J104*J106</f>
        <v>0</v>
      </c>
      <c r="L106" s="355"/>
    </row>
    <row r="107" spans="1:12" s="8" customFormat="1" ht="5.0999999999999996" customHeight="1">
      <c r="A107" s="342"/>
      <c r="B107" s="399"/>
      <c r="C107" s="399"/>
      <c r="D107" s="362"/>
      <c r="E107" s="347"/>
      <c r="F107" s="347"/>
      <c r="G107" s="347"/>
      <c r="H107" s="347"/>
      <c r="I107" s="402"/>
      <c r="J107" s="570"/>
      <c r="K107" s="570"/>
      <c r="L107" s="347"/>
    </row>
    <row r="108" spans="1:12" s="8" customFormat="1" ht="16.5" customHeight="1">
      <c r="A108" s="342"/>
      <c r="B108" s="347" t="s">
        <v>23</v>
      </c>
      <c r="C108" s="347"/>
      <c r="D108" s="362"/>
      <c r="E108" s="362" t="s">
        <v>24</v>
      </c>
      <c r="F108" s="347"/>
      <c r="G108" s="347"/>
      <c r="H108" s="347"/>
      <c r="I108" s="401" t="s">
        <v>25</v>
      </c>
      <c r="J108" s="574">
        <f>((J104/1.11)+(K106/1.11))*11%</f>
        <v>74324.32432432432</v>
      </c>
      <c r="K108" s="575"/>
      <c r="L108" s="405"/>
    </row>
    <row r="109" spans="1:12" s="8" customFormat="1" ht="5.0999999999999996" customHeight="1">
      <c r="A109" s="342"/>
      <c r="B109" s="399"/>
      <c r="C109" s="399"/>
      <c r="D109" s="362"/>
      <c r="E109" s="347"/>
      <c r="F109" s="347"/>
      <c r="G109" s="347"/>
      <c r="H109" s="347"/>
      <c r="I109" s="402"/>
      <c r="J109" s="570"/>
      <c r="K109" s="570"/>
      <c r="L109" s="347"/>
    </row>
    <row r="110" spans="1:12" s="8" customFormat="1" ht="16.5" customHeight="1">
      <c r="A110" s="342"/>
      <c r="B110" s="406"/>
      <c r="C110" s="394"/>
      <c r="D110" s="362"/>
      <c r="E110" s="362"/>
      <c r="F110" s="347"/>
      <c r="G110" s="347"/>
      <c r="H110" s="347"/>
      <c r="I110" s="401" t="s">
        <v>26</v>
      </c>
      <c r="J110" s="407"/>
      <c r="K110" s="408">
        <f>J104-K106</f>
        <v>750000</v>
      </c>
      <c r="L110" s="405"/>
    </row>
    <row r="111" spans="1:12" s="8" customFormat="1" ht="7.5" customHeight="1">
      <c r="A111" s="342"/>
      <c r="B111" s="347"/>
      <c r="C111" s="347"/>
      <c r="D111" s="362"/>
      <c r="E111" s="409"/>
      <c r="F111" s="399"/>
      <c r="G111" s="347"/>
      <c r="H111" s="347"/>
      <c r="I111" s="409"/>
      <c r="J111" s="409"/>
      <c r="K111" s="399"/>
      <c r="L111" s="347"/>
    </row>
    <row r="112" spans="1:12" s="8" customFormat="1" ht="13.5" customHeight="1">
      <c r="A112" s="342"/>
      <c r="B112" s="410" t="s">
        <v>27</v>
      </c>
      <c r="C112" s="347"/>
      <c r="D112" s="362"/>
      <c r="E112" s="347"/>
      <c r="F112" s="347"/>
      <c r="G112" s="347"/>
      <c r="H112" s="411"/>
      <c r="I112" s="412" t="s">
        <v>12</v>
      </c>
      <c r="J112" s="567" t="str">
        <f>J74</f>
        <v>NOVI / CONDRO</v>
      </c>
      <c r="K112" s="568"/>
      <c r="L112" s="347"/>
    </row>
    <row r="113" spans="1:12" s="8" customFormat="1" ht="13.5" customHeight="1">
      <c r="A113" s="342"/>
      <c r="B113" s="342"/>
      <c r="C113" s="347"/>
      <c r="D113" s="347"/>
      <c r="E113" s="347"/>
      <c r="F113" s="347"/>
      <c r="G113" s="347"/>
      <c r="H113" s="411"/>
      <c r="I113" s="413" t="s">
        <v>139</v>
      </c>
      <c r="J113" s="567">
        <f>J75</f>
        <v>0</v>
      </c>
      <c r="K113" s="568"/>
      <c r="L113" s="347"/>
    </row>
    <row r="114" spans="1:12" s="8" customFormat="1" ht="7.5" customHeight="1">
      <c r="A114" s="342"/>
      <c r="B114" s="342"/>
      <c r="C114" s="347"/>
      <c r="D114" s="347"/>
      <c r="E114" s="347"/>
      <c r="F114" s="347"/>
      <c r="G114" s="347"/>
      <c r="H114" s="411"/>
      <c r="I114" s="413"/>
      <c r="J114" s="414"/>
      <c r="K114" s="414"/>
      <c r="L114" s="347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PREVIEW BORDERLESS</vt:lpstr>
      <vt:lpstr>PREVIEW</vt:lpstr>
      <vt:lpstr>_var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2024-05-29T08:55:55Z</dcterms:modified>
</cp:coreProperties>
</file>